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 date1904="1"/>
  <mc:AlternateContent xmlns:mc="http://schemas.openxmlformats.org/markup-compatibility/2006">
    <mc:Choice Requires="x15">
      <x15ac:absPath xmlns:x15ac="http://schemas.microsoft.com/office/spreadsheetml/2010/11/ac" url="/Users/roygilles/Desktop/En attendant/Travaux DXA/Etudes Thèmes/Satori GEI/"/>
    </mc:Choice>
  </mc:AlternateContent>
  <bookViews>
    <workbookView xWindow="800" yWindow="460" windowWidth="41780" windowHeight="28340" activeTab="2"/>
  </bookViews>
  <sheets>
    <sheet name="Données" sheetId="1" r:id="rId1"/>
    <sheet name="Aspects" sheetId="2" r:id="rId2"/>
    <sheet name="Hiéra SORI %" sheetId="4" r:id="rId3"/>
    <sheet name="H Topo" sheetId="9" r:id="rId4"/>
    <sheet name="DG" sheetId="11" r:id="rId5"/>
    <sheet name="SoriAspectral" sheetId="3" r:id="rId6"/>
    <sheet name="Hiéra Soriaspectral " sheetId="5" r:id="rId7"/>
    <sheet name="H Hélio" sheetId="6" r:id="rId8"/>
    <sheet name="H TGE" sheetId="7" r:id="rId9"/>
    <sheet name="H Equa" sheetId="8" r:id="rId10"/>
    <sheet name="Signes &amp; Maisons" sheetId="10" r:id="rId11"/>
    <sheet name="LAT G" sheetId="12" state="hidden" r:id="rId12"/>
    <sheet name="Librations" sheetId="13" state="hidden" r:id="rId13"/>
    <sheet name="DH" sheetId="14" state="hidden" r:id="rId14"/>
    <sheet name="IGH" sheetId="15" r:id="rId15"/>
    <sheet name="MAGNI" sheetId="16" r:id="rId16"/>
    <sheet name="IGG" sheetId="17" state="hidden" r:id="rId17"/>
    <sheet name="PQH" sheetId="18" state="hidden" r:id="rId18"/>
    <sheet name="PQG" sheetId="19" state="hidden" r:id="rId19"/>
    <sheet name="Comparaison" sheetId="20" state="hidden" r:id="rId20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4" i="9" l="1"/>
  <c r="K4" i="9"/>
  <c r="J4" i="9"/>
  <c r="I4" i="9"/>
  <c r="H4" i="9"/>
  <c r="G4" i="9"/>
  <c r="F4" i="9"/>
  <c r="E4" i="9"/>
  <c r="C4" i="9"/>
  <c r="D4" i="9"/>
  <c r="C8" i="6"/>
  <c r="E8" i="6"/>
  <c r="R29" i="20"/>
  <c r="R28" i="20"/>
  <c r="R27" i="20"/>
  <c r="R26" i="20"/>
  <c r="R25" i="20"/>
  <c r="R24" i="20"/>
  <c r="R23" i="20"/>
  <c r="R22" i="20"/>
  <c r="R21" i="20"/>
  <c r="R20" i="20"/>
  <c r="AK13" i="4"/>
  <c r="AK11" i="4"/>
  <c r="AK10" i="4"/>
  <c r="AK12" i="4"/>
  <c r="AK9" i="4"/>
  <c r="AK7" i="4"/>
  <c r="AK8" i="4"/>
  <c r="AK6" i="4"/>
  <c r="AK5" i="4"/>
  <c r="AK4" i="4"/>
  <c r="AT37" i="4"/>
  <c r="AT41" i="4"/>
  <c r="AT40" i="4"/>
  <c r="AT39" i="4"/>
  <c r="AT43" i="4"/>
  <c r="AT36" i="4"/>
  <c r="AT38" i="4"/>
  <c r="AT42" i="4"/>
  <c r="AT34" i="4"/>
  <c r="AT35" i="4"/>
  <c r="I13" i="4"/>
  <c r="J13" i="4"/>
  <c r="I6" i="4"/>
  <c r="J6" i="4"/>
  <c r="I4" i="4"/>
  <c r="J4" i="4"/>
  <c r="I5" i="4"/>
  <c r="J5" i="4"/>
  <c r="I9" i="4"/>
  <c r="J9" i="4"/>
  <c r="I10" i="4"/>
  <c r="J10" i="4"/>
  <c r="I7" i="4"/>
  <c r="J7" i="4"/>
  <c r="I11" i="4"/>
  <c r="J11" i="4"/>
  <c r="I8" i="4"/>
  <c r="J8" i="4"/>
  <c r="I12" i="4"/>
  <c r="J12" i="4"/>
  <c r="E19" i="4"/>
  <c r="E9" i="4"/>
  <c r="E10" i="4"/>
  <c r="E8" i="4"/>
  <c r="E12" i="4"/>
  <c r="E6" i="4"/>
  <c r="E13" i="4"/>
  <c r="E5" i="4"/>
  <c r="E7" i="4"/>
  <c r="E11" i="4"/>
  <c r="E4" i="4"/>
  <c r="J19" i="4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" i="16"/>
  <c r="G9" i="16"/>
  <c r="G8" i="16"/>
  <c r="Z8" i="4"/>
  <c r="J12" i="2"/>
  <c r="F7" i="9"/>
  <c r="G7" i="9"/>
  <c r="L7" i="9"/>
  <c r="K7" i="9"/>
  <c r="J7" i="9"/>
  <c r="I7" i="9"/>
  <c r="H7" i="9"/>
  <c r="E7" i="9"/>
  <c r="D7" i="9"/>
  <c r="C7" i="9"/>
  <c r="AK21" i="4"/>
  <c r="AK24" i="4"/>
  <c r="AK27" i="4"/>
  <c r="AK23" i="4"/>
  <c r="AK25" i="4"/>
  <c r="AK26" i="4"/>
  <c r="AK22" i="4"/>
  <c r="AK20" i="4"/>
  <c r="AK19" i="4"/>
  <c r="AK28" i="4"/>
  <c r="J28" i="4"/>
  <c r="J27" i="4"/>
  <c r="J26" i="4"/>
  <c r="J20" i="4"/>
  <c r="J22" i="4"/>
  <c r="J25" i="4"/>
  <c r="J23" i="4"/>
  <c r="J24" i="4"/>
  <c r="J21" i="4"/>
  <c r="J34" i="4"/>
  <c r="E28" i="4"/>
  <c r="D23" i="4"/>
  <c r="E23" i="4"/>
  <c r="D20" i="4"/>
  <c r="E20" i="4"/>
  <c r="D22" i="4"/>
  <c r="E22" i="4"/>
  <c r="D27" i="4"/>
  <c r="E27" i="4"/>
  <c r="D26" i="4"/>
  <c r="E26" i="4"/>
  <c r="D25" i="4"/>
  <c r="E25" i="4"/>
  <c r="D21" i="4"/>
  <c r="E21" i="4"/>
  <c r="D24" i="4"/>
  <c r="E24" i="4"/>
  <c r="F24" i="8"/>
  <c r="C24" i="8"/>
  <c r="D6" i="8"/>
  <c r="H6" i="8"/>
  <c r="AK39" i="4"/>
  <c r="AK43" i="4"/>
  <c r="AK36" i="4"/>
  <c r="AK40" i="4"/>
  <c r="AK42" i="4"/>
  <c r="AK38" i="4"/>
  <c r="AK35" i="4"/>
  <c r="AK41" i="4"/>
  <c r="AK37" i="4"/>
  <c r="AK34" i="4"/>
  <c r="J41" i="4"/>
  <c r="J43" i="4"/>
  <c r="J38" i="4"/>
  <c r="J42" i="4"/>
  <c r="J39" i="4"/>
  <c r="J40" i="4"/>
  <c r="J37" i="4"/>
  <c r="J36" i="4"/>
  <c r="J35" i="4"/>
  <c r="E43" i="4"/>
  <c r="E42" i="4"/>
  <c r="E37" i="4"/>
  <c r="E36" i="4"/>
  <c r="E40" i="4"/>
  <c r="E38" i="4"/>
  <c r="E34" i="4"/>
  <c r="E35" i="4"/>
  <c r="E39" i="4"/>
  <c r="E41" i="4"/>
  <c r="E48" i="4"/>
  <c r="K16" i="7"/>
  <c r="J16" i="7"/>
  <c r="I16" i="7"/>
  <c r="L16" i="7"/>
  <c r="H16" i="7"/>
  <c r="G16" i="7"/>
  <c r="F16" i="7"/>
  <c r="E16" i="7"/>
  <c r="D16" i="7"/>
  <c r="C16" i="7"/>
  <c r="F15" i="7"/>
  <c r="K14" i="7"/>
  <c r="J14" i="7"/>
  <c r="I14" i="7"/>
  <c r="H14" i="7"/>
  <c r="L14" i="7"/>
  <c r="G14" i="7"/>
  <c r="F14" i="7"/>
  <c r="E14" i="7"/>
  <c r="D14" i="7"/>
  <c r="C14" i="7"/>
  <c r="H7" i="7"/>
  <c r="D7" i="7"/>
  <c r="D13" i="7"/>
  <c r="AN69" i="3"/>
  <c r="AK69" i="3"/>
  <c r="AN60" i="3"/>
  <c r="AK60" i="3"/>
  <c r="AN51" i="3"/>
  <c r="AM51" i="3"/>
  <c r="AL51" i="3"/>
  <c r="AK51" i="3"/>
  <c r="AK42" i="3"/>
  <c r="AN33" i="3"/>
  <c r="AM33" i="3"/>
  <c r="AL33" i="3"/>
  <c r="AK33" i="3"/>
  <c r="AN24" i="3"/>
  <c r="AM24" i="3"/>
  <c r="AL24" i="3"/>
  <c r="AK24" i="3"/>
  <c r="AK15" i="3"/>
  <c r="AN6" i="3"/>
  <c r="AG69" i="3"/>
  <c r="AE69" i="3"/>
  <c r="AD69" i="3"/>
  <c r="AF60" i="3"/>
  <c r="AE60" i="3"/>
  <c r="AD60" i="3"/>
  <c r="AF51" i="3"/>
  <c r="AE51" i="3"/>
  <c r="AD51" i="3"/>
  <c r="AG42" i="3"/>
  <c r="AG33" i="3"/>
  <c r="AF33" i="3"/>
  <c r="AE33" i="3"/>
  <c r="AG24" i="3"/>
  <c r="AF24" i="3"/>
  <c r="AE24" i="3"/>
  <c r="AD24" i="3"/>
  <c r="AG15" i="3"/>
  <c r="AF15" i="3"/>
  <c r="AE15" i="3"/>
  <c r="AF6" i="3"/>
  <c r="AE6" i="3"/>
  <c r="Y78" i="3"/>
  <c r="X78" i="3"/>
  <c r="W78" i="3"/>
  <c r="Y69" i="3"/>
  <c r="X69" i="3"/>
  <c r="W69" i="3"/>
  <c r="Z60" i="3"/>
  <c r="Y60" i="3"/>
  <c r="X60" i="3"/>
  <c r="W60" i="3"/>
  <c r="Z51" i="3"/>
  <c r="X51" i="3"/>
  <c r="W51" i="3"/>
  <c r="Z42" i="3"/>
  <c r="Y42" i="3"/>
  <c r="W42" i="3"/>
  <c r="Z33" i="3"/>
  <c r="Y33" i="3"/>
  <c r="X33" i="3"/>
  <c r="W33" i="3"/>
  <c r="Y24" i="3"/>
  <c r="X24" i="3"/>
  <c r="W24" i="3"/>
  <c r="Y15" i="3"/>
  <c r="X15" i="3"/>
  <c r="W15" i="3"/>
  <c r="Z6" i="3"/>
  <c r="Y6" i="3"/>
  <c r="X6" i="3"/>
  <c r="W6" i="3"/>
  <c r="S78" i="3"/>
  <c r="Q78" i="3"/>
  <c r="P78" i="3"/>
  <c r="S69" i="3"/>
  <c r="S60" i="3"/>
  <c r="R60" i="3"/>
  <c r="P60" i="3"/>
  <c r="R51" i="3"/>
  <c r="P51" i="3"/>
  <c r="R42" i="3"/>
  <c r="Q42" i="3"/>
  <c r="R33" i="3"/>
  <c r="Q33" i="3"/>
  <c r="P33" i="3"/>
  <c r="S24" i="3"/>
  <c r="R24" i="3"/>
  <c r="Q24" i="3"/>
  <c r="P24" i="3"/>
  <c r="S15" i="3"/>
  <c r="R15" i="3"/>
  <c r="Q15" i="3"/>
  <c r="P15" i="3"/>
  <c r="R6" i="3"/>
  <c r="Q6" i="3"/>
  <c r="P6" i="3"/>
  <c r="I77" i="3"/>
  <c r="L78" i="3"/>
  <c r="K78" i="3"/>
  <c r="J78" i="3"/>
  <c r="L69" i="3"/>
  <c r="I69" i="3"/>
  <c r="L60" i="3"/>
  <c r="L42" i="3"/>
  <c r="K42" i="3"/>
  <c r="J42" i="3"/>
  <c r="K33" i="3"/>
  <c r="J33" i="3"/>
  <c r="I33" i="3"/>
  <c r="L24" i="3"/>
  <c r="J24" i="3"/>
  <c r="I24" i="3"/>
  <c r="K15" i="3"/>
  <c r="J15" i="3"/>
  <c r="L6" i="3"/>
  <c r="J6" i="3"/>
  <c r="I6" i="3"/>
  <c r="L47" i="2"/>
  <c r="L46" i="2"/>
  <c r="L45" i="2"/>
  <c r="K46" i="2"/>
  <c r="K45" i="2"/>
  <c r="K42" i="2"/>
  <c r="K41" i="2"/>
  <c r="K40" i="2"/>
  <c r="L37" i="2"/>
  <c r="L36" i="2"/>
  <c r="L35" i="2"/>
  <c r="K37" i="2"/>
  <c r="K36" i="2"/>
  <c r="K35" i="2"/>
  <c r="J37" i="2"/>
  <c r="J36" i="2"/>
  <c r="J35" i="2"/>
  <c r="I37" i="2"/>
  <c r="I36" i="2"/>
  <c r="I35" i="2"/>
  <c r="L32" i="2"/>
  <c r="L31" i="2"/>
  <c r="J32" i="2"/>
  <c r="J31" i="2"/>
  <c r="J30" i="2"/>
  <c r="I32" i="2"/>
  <c r="I31" i="2"/>
  <c r="I30" i="2"/>
  <c r="H32" i="2"/>
  <c r="H31" i="2"/>
  <c r="H30" i="2"/>
  <c r="J27" i="2"/>
  <c r="J26" i="2"/>
  <c r="J25" i="2"/>
  <c r="H27" i="2"/>
  <c r="H26" i="2"/>
  <c r="H25" i="2"/>
  <c r="H22" i="2"/>
  <c r="J17" i="2"/>
  <c r="J16" i="2"/>
  <c r="J15" i="2"/>
  <c r="H17" i="2"/>
  <c r="H16" i="2"/>
  <c r="H15" i="2"/>
  <c r="L12" i="2"/>
  <c r="L11" i="2"/>
  <c r="L10" i="2"/>
  <c r="K11" i="2"/>
  <c r="K10" i="2"/>
  <c r="J11" i="2"/>
  <c r="J10" i="2"/>
  <c r="I11" i="2"/>
  <c r="I10" i="2"/>
  <c r="H12" i="2"/>
  <c r="H11" i="2"/>
  <c r="H10" i="2"/>
  <c r="G12" i="2"/>
  <c r="G11" i="2"/>
  <c r="G10" i="2"/>
  <c r="F12" i="2"/>
  <c r="F11" i="2"/>
  <c r="F10" i="2"/>
  <c r="E11" i="2"/>
  <c r="E10" i="2"/>
  <c r="D12" i="2"/>
  <c r="D11" i="2"/>
  <c r="D10" i="2"/>
  <c r="J20" i="1"/>
  <c r="J19" i="1"/>
  <c r="L15" i="20"/>
  <c r="E15" i="20"/>
  <c r="L14" i="20"/>
  <c r="E14" i="20"/>
  <c r="L13" i="20"/>
  <c r="E13" i="20"/>
  <c r="L12" i="20"/>
  <c r="E12" i="20"/>
  <c r="L11" i="20"/>
  <c r="E11" i="20"/>
  <c r="L10" i="20"/>
  <c r="E10" i="20"/>
  <c r="L9" i="20"/>
  <c r="E9" i="20"/>
  <c r="L8" i="20"/>
  <c r="E8" i="20"/>
  <c r="L7" i="20"/>
  <c r="E7" i="20"/>
  <c r="L6" i="20"/>
  <c r="E6" i="20"/>
  <c r="AK50" i="4"/>
  <c r="AK54" i="4"/>
  <c r="AK51" i="4"/>
  <c r="AK53" i="4"/>
  <c r="AK55" i="4"/>
  <c r="AK52" i="4"/>
  <c r="AK48" i="4"/>
  <c r="AK57" i="4"/>
  <c r="AK56" i="4"/>
  <c r="AK49" i="4"/>
  <c r="J56" i="4"/>
  <c r="J57" i="4"/>
  <c r="J48" i="4"/>
  <c r="J50" i="4"/>
  <c r="J55" i="4"/>
  <c r="J51" i="4"/>
  <c r="J52" i="4"/>
  <c r="J53" i="4"/>
  <c r="J49" i="4"/>
  <c r="J54" i="4"/>
  <c r="E50" i="4"/>
  <c r="E51" i="4"/>
  <c r="E56" i="4"/>
  <c r="E52" i="4"/>
  <c r="E54" i="4"/>
  <c r="E53" i="4"/>
  <c r="E49" i="4"/>
  <c r="E55" i="4"/>
  <c r="E57" i="4"/>
  <c r="L6" i="6"/>
  <c r="L18" i="6"/>
  <c r="L19" i="6"/>
  <c r="L22" i="6"/>
  <c r="K18" i="6"/>
  <c r="K20" i="6"/>
  <c r="K6" i="6"/>
  <c r="K22" i="6"/>
  <c r="J6" i="6"/>
  <c r="J18" i="6"/>
  <c r="J20" i="6"/>
  <c r="J22" i="6"/>
  <c r="I6" i="6"/>
  <c r="I18" i="6"/>
  <c r="I20" i="6"/>
  <c r="I22" i="6"/>
  <c r="H6" i="6"/>
  <c r="H18" i="6"/>
  <c r="H19" i="6"/>
  <c r="H22" i="6"/>
  <c r="G6" i="6"/>
  <c r="G18" i="6"/>
  <c r="G20" i="6"/>
  <c r="G22" i="6"/>
  <c r="C6" i="6"/>
  <c r="C22" i="6"/>
  <c r="F6" i="6"/>
  <c r="F22" i="6"/>
  <c r="E6" i="6"/>
  <c r="E18" i="6"/>
  <c r="E19" i="6"/>
  <c r="E22" i="6"/>
  <c r="D18" i="6"/>
  <c r="D6" i="6"/>
  <c r="D22" i="6"/>
  <c r="L13" i="6"/>
  <c r="L17" i="6"/>
  <c r="K13" i="6"/>
  <c r="K15" i="6"/>
  <c r="K16" i="6"/>
  <c r="K17" i="6"/>
  <c r="J13" i="6"/>
  <c r="J14" i="6"/>
  <c r="J17" i="6"/>
  <c r="I13" i="6"/>
  <c r="I15" i="6"/>
  <c r="I16" i="6"/>
  <c r="I17" i="6"/>
  <c r="H13" i="6"/>
  <c r="H15" i="6"/>
  <c r="H17" i="6"/>
  <c r="G13" i="6"/>
  <c r="G14" i="6"/>
  <c r="G17" i="6"/>
  <c r="E13" i="6"/>
  <c r="E14" i="6"/>
  <c r="E17" i="6"/>
  <c r="D13" i="6"/>
  <c r="D17" i="6"/>
  <c r="F13" i="6"/>
  <c r="F15" i="6"/>
  <c r="F16" i="6"/>
  <c r="F17" i="6"/>
  <c r="C13" i="6"/>
  <c r="C15" i="6"/>
  <c r="C16" i="6"/>
  <c r="C17" i="6"/>
  <c r="J3" i="2"/>
  <c r="L3" i="2"/>
  <c r="L44" i="2"/>
  <c r="K3" i="2"/>
  <c r="K44" i="2"/>
  <c r="I3" i="2"/>
  <c r="K39" i="2"/>
  <c r="H3" i="2"/>
  <c r="L34" i="2"/>
  <c r="K34" i="2"/>
  <c r="J34" i="2"/>
  <c r="I34" i="2"/>
  <c r="G3" i="2"/>
  <c r="K29" i="2"/>
  <c r="J29" i="2"/>
  <c r="I29" i="2"/>
  <c r="H29" i="2"/>
  <c r="F3" i="2"/>
  <c r="L24" i="2"/>
  <c r="K24" i="2"/>
  <c r="J24" i="2"/>
  <c r="I24" i="2"/>
  <c r="H24" i="2"/>
  <c r="G24" i="2"/>
  <c r="E3" i="2"/>
  <c r="L19" i="2"/>
  <c r="K19" i="2"/>
  <c r="J19" i="2"/>
  <c r="I19" i="2"/>
  <c r="H19" i="2"/>
  <c r="G19" i="2"/>
  <c r="D3" i="2"/>
  <c r="K14" i="2"/>
  <c r="J14" i="2"/>
  <c r="I14" i="2"/>
  <c r="F14" i="2"/>
  <c r="E14" i="2"/>
  <c r="C3" i="2"/>
  <c r="L9" i="2"/>
  <c r="K9" i="2"/>
  <c r="J9" i="2"/>
  <c r="I9" i="2"/>
  <c r="H9" i="2"/>
  <c r="G9" i="2"/>
  <c r="D9" i="2"/>
  <c r="O4" i="4"/>
  <c r="O5" i="4"/>
  <c r="O6" i="4"/>
  <c r="O8" i="4"/>
  <c r="O13" i="4"/>
  <c r="O10" i="4"/>
  <c r="O7" i="4"/>
  <c r="O9" i="4"/>
  <c r="O11" i="4"/>
  <c r="O12" i="4"/>
  <c r="C8" i="9"/>
  <c r="C9" i="9"/>
  <c r="AD4" i="4"/>
  <c r="E8" i="9"/>
  <c r="E9" i="9"/>
  <c r="AD13" i="4"/>
  <c r="D8" i="9"/>
  <c r="D9" i="9"/>
  <c r="AD6" i="4"/>
  <c r="H8" i="9"/>
  <c r="H9" i="9"/>
  <c r="AD8" i="4"/>
  <c r="L8" i="9"/>
  <c r="L9" i="9"/>
  <c r="AD5" i="4"/>
  <c r="J8" i="9"/>
  <c r="J9" i="9"/>
  <c r="AD10" i="4"/>
  <c r="K8" i="9"/>
  <c r="K9" i="9"/>
  <c r="AD7" i="4"/>
  <c r="G8" i="9"/>
  <c r="G9" i="9"/>
  <c r="AD11" i="4"/>
  <c r="I8" i="9"/>
  <c r="I9" i="9"/>
  <c r="AD12" i="4"/>
  <c r="F8" i="9"/>
  <c r="F9" i="9"/>
  <c r="AD9" i="4"/>
  <c r="L3" i="9"/>
  <c r="N4" i="4"/>
  <c r="S4" i="4"/>
  <c r="T4" i="4"/>
  <c r="U4" i="4"/>
  <c r="V4" i="4"/>
  <c r="W4" i="4"/>
  <c r="X4" i="4"/>
  <c r="Y4" i="4"/>
  <c r="Z4" i="4"/>
  <c r="AC4" i="4"/>
  <c r="D3" i="9"/>
  <c r="N5" i="4"/>
  <c r="S5" i="4"/>
  <c r="T5" i="4"/>
  <c r="U5" i="4"/>
  <c r="V5" i="4"/>
  <c r="W5" i="4"/>
  <c r="X5" i="4"/>
  <c r="Y5" i="4"/>
  <c r="Z5" i="4"/>
  <c r="AC13" i="4"/>
  <c r="F3" i="9"/>
  <c r="N6" i="4"/>
  <c r="S9" i="4"/>
  <c r="T9" i="4"/>
  <c r="V9" i="4"/>
  <c r="W9" i="4"/>
  <c r="X9" i="4"/>
  <c r="Y9" i="4"/>
  <c r="Z9" i="4"/>
  <c r="AC6" i="4"/>
  <c r="I3" i="9"/>
  <c r="N8" i="4"/>
  <c r="S13" i="4"/>
  <c r="T13" i="4"/>
  <c r="U13" i="4"/>
  <c r="V13" i="4"/>
  <c r="W13" i="4"/>
  <c r="X13" i="4"/>
  <c r="Y13" i="4"/>
  <c r="Z13" i="4"/>
  <c r="AC8" i="4"/>
  <c r="H3" i="9"/>
  <c r="N13" i="4"/>
  <c r="S12" i="4"/>
  <c r="T12" i="4"/>
  <c r="U12" i="4"/>
  <c r="V12" i="4"/>
  <c r="W12" i="4"/>
  <c r="X12" i="4"/>
  <c r="Y12" i="4"/>
  <c r="Z12" i="4"/>
  <c r="AC5" i="4"/>
  <c r="J3" i="9"/>
  <c r="N10" i="4"/>
  <c r="S7" i="4"/>
  <c r="T7" i="4"/>
  <c r="U7" i="4"/>
  <c r="V7" i="4"/>
  <c r="W7" i="4"/>
  <c r="X7" i="4"/>
  <c r="Y7" i="4"/>
  <c r="Z7" i="4"/>
  <c r="AC10" i="4"/>
  <c r="C3" i="9"/>
  <c r="N7" i="4"/>
  <c r="S11" i="4"/>
  <c r="T11" i="4"/>
  <c r="U11" i="4"/>
  <c r="V11" i="4"/>
  <c r="W11" i="4"/>
  <c r="X11" i="4"/>
  <c r="Y11" i="4"/>
  <c r="Z11" i="4"/>
  <c r="AC7" i="4"/>
  <c r="K3" i="9"/>
  <c r="N9" i="4"/>
  <c r="S8" i="4"/>
  <c r="T8" i="4"/>
  <c r="U8" i="4"/>
  <c r="V8" i="4"/>
  <c r="W8" i="4"/>
  <c r="X8" i="4"/>
  <c r="Y8" i="4"/>
  <c r="AC11" i="4"/>
  <c r="G3" i="9"/>
  <c r="N11" i="4"/>
  <c r="S10" i="4"/>
  <c r="T10" i="4"/>
  <c r="U10" i="4"/>
  <c r="V10" i="4"/>
  <c r="W10" i="4"/>
  <c r="X10" i="4"/>
  <c r="Y10" i="4"/>
  <c r="Z10" i="4"/>
  <c r="AC12" i="4"/>
  <c r="E3" i="9"/>
  <c r="N12" i="4"/>
  <c r="S6" i="4"/>
  <c r="T6" i="4"/>
  <c r="U6" i="4"/>
  <c r="V6" i="4"/>
  <c r="W6" i="4"/>
  <c r="X6" i="4"/>
  <c r="Y6" i="4"/>
  <c r="Z6" i="4"/>
  <c r="AC9" i="4"/>
  <c r="S21" i="4"/>
  <c r="T21" i="4"/>
  <c r="U21" i="4"/>
  <c r="V21" i="4"/>
  <c r="W21" i="4"/>
  <c r="X21" i="4"/>
  <c r="Y21" i="4"/>
  <c r="Z21" i="4"/>
  <c r="J5" i="8"/>
  <c r="J4" i="8"/>
  <c r="J6" i="8"/>
  <c r="AC27" i="4"/>
  <c r="J7" i="8"/>
  <c r="AD27" i="4"/>
  <c r="S25" i="4"/>
  <c r="T25" i="4"/>
  <c r="U25" i="4"/>
  <c r="V25" i="4"/>
  <c r="W25" i="4"/>
  <c r="X25" i="4"/>
  <c r="Y25" i="4"/>
  <c r="Z25" i="4"/>
  <c r="I5" i="8"/>
  <c r="I4" i="8"/>
  <c r="I6" i="8"/>
  <c r="AC28" i="4"/>
  <c r="I7" i="8"/>
  <c r="AD28" i="4"/>
  <c r="S19" i="4"/>
  <c r="T19" i="4"/>
  <c r="U19" i="4"/>
  <c r="V19" i="4"/>
  <c r="W19" i="4"/>
  <c r="X19" i="4"/>
  <c r="Y19" i="4"/>
  <c r="Z19" i="4"/>
  <c r="F5" i="8"/>
  <c r="F4" i="8"/>
  <c r="F6" i="8"/>
  <c r="AC23" i="4"/>
  <c r="F7" i="8"/>
  <c r="AD23" i="4"/>
  <c r="S24" i="4"/>
  <c r="T24" i="4"/>
  <c r="U24" i="4"/>
  <c r="V24" i="4"/>
  <c r="W24" i="4"/>
  <c r="X24" i="4"/>
  <c r="Y24" i="4"/>
  <c r="Z24" i="4"/>
  <c r="L5" i="8"/>
  <c r="L4" i="8"/>
  <c r="L6" i="8"/>
  <c r="AC20" i="4"/>
  <c r="L7" i="8"/>
  <c r="AD20" i="4"/>
  <c r="S20" i="4"/>
  <c r="T20" i="4"/>
  <c r="U20" i="4"/>
  <c r="V20" i="4"/>
  <c r="W20" i="4"/>
  <c r="X20" i="4"/>
  <c r="Y20" i="4"/>
  <c r="Z20" i="4"/>
  <c r="G5" i="8"/>
  <c r="G4" i="8"/>
  <c r="G6" i="8"/>
  <c r="AC21" i="4"/>
  <c r="G7" i="8"/>
  <c r="AD21" i="4"/>
  <c r="S22" i="4"/>
  <c r="T22" i="4"/>
  <c r="U22" i="4"/>
  <c r="V22" i="4"/>
  <c r="W22" i="4"/>
  <c r="X22" i="4"/>
  <c r="Y22" i="4"/>
  <c r="Z22" i="4"/>
  <c r="D5" i="8"/>
  <c r="D4" i="8"/>
  <c r="AC26" i="4"/>
  <c r="D7" i="8"/>
  <c r="AD26" i="4"/>
  <c r="S26" i="4"/>
  <c r="T26" i="4"/>
  <c r="U26" i="4"/>
  <c r="V26" i="4"/>
  <c r="W26" i="4"/>
  <c r="X26" i="4"/>
  <c r="Y26" i="4"/>
  <c r="Z26" i="4"/>
  <c r="C5" i="8"/>
  <c r="C4" i="8"/>
  <c r="C6" i="8"/>
  <c r="AC24" i="4"/>
  <c r="C7" i="8"/>
  <c r="AD24" i="4"/>
  <c r="S28" i="4"/>
  <c r="T28" i="4"/>
  <c r="U28" i="4"/>
  <c r="V28" i="4"/>
  <c r="W28" i="4"/>
  <c r="X28" i="4"/>
  <c r="Y28" i="4"/>
  <c r="Z28" i="4"/>
  <c r="K5" i="8"/>
  <c r="K4" i="8"/>
  <c r="K6" i="8"/>
  <c r="AC25" i="4"/>
  <c r="K7" i="8"/>
  <c r="AD25" i="4"/>
  <c r="S27" i="4"/>
  <c r="T27" i="4"/>
  <c r="U27" i="4"/>
  <c r="V27" i="4"/>
  <c r="W27" i="4"/>
  <c r="X27" i="4"/>
  <c r="Y27" i="4"/>
  <c r="Z27" i="4"/>
  <c r="H5" i="8"/>
  <c r="H4" i="8"/>
  <c r="AC22" i="4"/>
  <c r="H7" i="8"/>
  <c r="AD22" i="4"/>
  <c r="S23" i="4"/>
  <c r="T23" i="4"/>
  <c r="U23" i="4"/>
  <c r="V23" i="4"/>
  <c r="W23" i="4"/>
  <c r="X23" i="4"/>
  <c r="Y23" i="4"/>
  <c r="Z23" i="4"/>
  <c r="E5" i="8"/>
  <c r="E4" i="8"/>
  <c r="E6" i="8"/>
  <c r="AC19" i="4"/>
  <c r="E7" i="8"/>
  <c r="AD19" i="4"/>
  <c r="I30" i="10"/>
  <c r="I32" i="10"/>
  <c r="I31" i="10"/>
  <c r="I29" i="10"/>
  <c r="I26" i="10"/>
  <c r="I25" i="10"/>
  <c r="I24" i="10"/>
  <c r="I23" i="10"/>
  <c r="N19" i="10"/>
  <c r="J19" i="10"/>
  <c r="M18" i="10"/>
  <c r="K18" i="10"/>
  <c r="I18" i="10"/>
  <c r="G18" i="10"/>
  <c r="F18" i="10"/>
  <c r="E18" i="10"/>
  <c r="L12" i="10"/>
  <c r="I12" i="10"/>
  <c r="F12" i="10"/>
  <c r="C12" i="10"/>
  <c r="L6" i="10"/>
  <c r="I6" i="10"/>
  <c r="F6" i="10"/>
  <c r="C6" i="10"/>
  <c r="P26" i="5"/>
  <c r="P25" i="5"/>
  <c r="P24" i="5"/>
  <c r="P23" i="5"/>
  <c r="P22" i="5"/>
  <c r="P21" i="5"/>
  <c r="P20" i="5"/>
  <c r="P19" i="5"/>
  <c r="P18" i="5"/>
  <c r="P17" i="5"/>
  <c r="AA84" i="3"/>
  <c r="Y84" i="3"/>
  <c r="X84" i="3"/>
  <c r="W84" i="3"/>
  <c r="I12" i="3"/>
  <c r="L41" i="3"/>
  <c r="M12" i="3"/>
  <c r="I7" i="3"/>
  <c r="L5" i="9"/>
  <c r="E6" i="9"/>
  <c r="K5" i="9"/>
  <c r="J5" i="9"/>
  <c r="I5" i="9"/>
  <c r="H5" i="9"/>
  <c r="I6" i="9"/>
  <c r="G5" i="9"/>
  <c r="F5" i="9"/>
  <c r="E5" i="9"/>
  <c r="D5" i="9"/>
  <c r="C5" i="9"/>
  <c r="L6" i="7"/>
  <c r="D15" i="7"/>
  <c r="I15" i="7"/>
  <c r="J6" i="7"/>
  <c r="I6" i="7"/>
  <c r="H6" i="7"/>
  <c r="K6" i="7"/>
  <c r="G6" i="7"/>
  <c r="F6" i="7"/>
  <c r="E6" i="7"/>
  <c r="D6" i="7"/>
  <c r="K15" i="7"/>
  <c r="C6" i="7"/>
  <c r="C13" i="7"/>
  <c r="F13" i="7"/>
  <c r="G13" i="7"/>
  <c r="F15" i="8"/>
  <c r="W41" i="4"/>
  <c r="V37" i="4"/>
  <c r="W36" i="4"/>
  <c r="T54" i="4"/>
  <c r="V57" i="4"/>
  <c r="Z49" i="4"/>
  <c r="X49" i="4"/>
  <c r="Z54" i="4"/>
  <c r="X48" i="4"/>
  <c r="V48" i="4"/>
  <c r="T56" i="4"/>
  <c r="T55" i="4"/>
  <c r="Z32" i="3"/>
  <c r="K19" i="6"/>
  <c r="H20" i="6"/>
  <c r="E20" i="6"/>
  <c r="E21" i="6"/>
  <c r="C19" i="6"/>
  <c r="C21" i="6"/>
  <c r="C20" i="6"/>
  <c r="L15" i="6"/>
  <c r="L16" i="6"/>
  <c r="J15" i="6"/>
  <c r="J16" i="6"/>
  <c r="I14" i="6"/>
  <c r="H16" i="6"/>
  <c r="E15" i="6"/>
  <c r="D15" i="6"/>
  <c r="D16" i="6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5" i="17"/>
  <c r="C4" i="17"/>
  <c r="R5" i="17"/>
  <c r="L5" i="7"/>
  <c r="L7" i="7"/>
  <c r="K5" i="7"/>
  <c r="K7" i="7"/>
  <c r="J5" i="7"/>
  <c r="J7" i="7"/>
  <c r="I5" i="7"/>
  <c r="I7" i="7"/>
  <c r="H5" i="7"/>
  <c r="G5" i="7"/>
  <c r="G7" i="7"/>
  <c r="F5" i="7"/>
  <c r="F7" i="7"/>
  <c r="E5" i="7"/>
  <c r="E7" i="7"/>
  <c r="D5" i="7"/>
  <c r="C5" i="7"/>
  <c r="C7" i="7"/>
  <c r="C6" i="2"/>
  <c r="H6" i="2"/>
  <c r="I41" i="3"/>
  <c r="F4" i="2"/>
  <c r="J4" i="2"/>
  <c r="Y41" i="3"/>
  <c r="H4" i="2"/>
  <c r="D4" i="2"/>
  <c r="Y59" i="3"/>
  <c r="J39" i="2"/>
  <c r="AN77" i="3"/>
  <c r="I5" i="2"/>
  <c r="J5" i="2"/>
  <c r="J41" i="2"/>
  <c r="AL77" i="3"/>
  <c r="I6" i="2"/>
  <c r="J6" i="2"/>
  <c r="J42" i="2"/>
  <c r="AK77" i="3"/>
  <c r="AN68" i="3"/>
  <c r="K4" i="2"/>
  <c r="K15" i="2"/>
  <c r="AM68" i="3"/>
  <c r="K5" i="2"/>
  <c r="D5" i="2"/>
  <c r="K16" i="2"/>
  <c r="AL68" i="3"/>
  <c r="K6" i="2"/>
  <c r="D6" i="2"/>
  <c r="K17" i="2"/>
  <c r="AK68" i="3"/>
  <c r="AM59" i="3"/>
  <c r="AL59" i="3"/>
  <c r="AK59" i="3"/>
  <c r="L39" i="2"/>
  <c r="AN50" i="3"/>
  <c r="I4" i="2"/>
  <c r="L4" i="2"/>
  <c r="L40" i="2"/>
  <c r="AM50" i="3"/>
  <c r="L5" i="2"/>
  <c r="L41" i="2"/>
  <c r="AL50" i="3"/>
  <c r="L6" i="2"/>
  <c r="L42" i="2"/>
  <c r="AK50" i="3"/>
  <c r="I15" i="2"/>
  <c r="AM41" i="3"/>
  <c r="I16" i="2"/>
  <c r="AL41" i="3"/>
  <c r="L14" i="2"/>
  <c r="AN32" i="3"/>
  <c r="L17" i="2"/>
  <c r="AK32" i="3"/>
  <c r="K47" i="2"/>
  <c r="AK23" i="3"/>
  <c r="L49" i="2"/>
  <c r="AN14" i="3"/>
  <c r="L50" i="2"/>
  <c r="AM14" i="3"/>
  <c r="L52" i="2"/>
  <c r="AK14" i="3"/>
  <c r="AN5" i="3"/>
  <c r="AM5" i="3"/>
  <c r="AG77" i="3"/>
  <c r="AF77" i="3"/>
  <c r="AE77" i="3"/>
  <c r="AG59" i="3"/>
  <c r="AG50" i="3"/>
  <c r="E4" i="2"/>
  <c r="I20" i="2"/>
  <c r="AF50" i="3"/>
  <c r="E5" i="2"/>
  <c r="I21" i="2"/>
  <c r="AE50" i="3"/>
  <c r="E6" i="2"/>
  <c r="I22" i="2"/>
  <c r="AD50" i="3"/>
  <c r="G4" i="2"/>
  <c r="K30" i="2"/>
  <c r="AF41" i="3"/>
  <c r="G5" i="2"/>
  <c r="K31" i="2"/>
  <c r="AE41" i="3"/>
  <c r="G6" i="2"/>
  <c r="K32" i="2"/>
  <c r="AD41" i="3"/>
  <c r="AG32" i="3"/>
  <c r="G20" i="2"/>
  <c r="AF32" i="3"/>
  <c r="G21" i="2"/>
  <c r="AE32" i="3"/>
  <c r="G22" i="2"/>
  <c r="AD32" i="3"/>
  <c r="AG23" i="3"/>
  <c r="AF23" i="3"/>
  <c r="H5" i="2"/>
  <c r="AE23" i="3"/>
  <c r="AD14" i="3"/>
  <c r="AG5" i="3"/>
  <c r="AD5" i="3"/>
  <c r="J20" i="2"/>
  <c r="Y77" i="3"/>
  <c r="J21" i="2"/>
  <c r="X77" i="3"/>
  <c r="J22" i="2"/>
  <c r="W77" i="3"/>
  <c r="Z68" i="3"/>
  <c r="H20" i="2"/>
  <c r="Y68" i="3"/>
  <c r="H21" i="2"/>
  <c r="X68" i="3"/>
  <c r="W68" i="3"/>
  <c r="W59" i="3"/>
  <c r="Z50" i="3"/>
  <c r="Y50" i="3"/>
  <c r="X50" i="3"/>
  <c r="W50" i="3"/>
  <c r="Z23" i="3"/>
  <c r="E15" i="2"/>
  <c r="Y23" i="3"/>
  <c r="E16" i="2"/>
  <c r="X23" i="3"/>
  <c r="E17" i="2"/>
  <c r="W23" i="3"/>
  <c r="F19" i="2"/>
  <c r="Z14" i="3"/>
  <c r="F15" i="2"/>
  <c r="Y5" i="3"/>
  <c r="F6" i="2"/>
  <c r="F17" i="2"/>
  <c r="W5" i="3"/>
  <c r="R77" i="3"/>
  <c r="Q77" i="3"/>
  <c r="R68" i="3"/>
  <c r="Q68" i="3"/>
  <c r="P68" i="3"/>
  <c r="I27" i="2"/>
  <c r="P50" i="3"/>
  <c r="S41" i="3"/>
  <c r="L20" i="2"/>
  <c r="R41" i="3"/>
  <c r="L22" i="2"/>
  <c r="P41" i="3"/>
  <c r="G15" i="2"/>
  <c r="R32" i="3"/>
  <c r="G16" i="2"/>
  <c r="Q32" i="3"/>
  <c r="L29" i="2"/>
  <c r="S23" i="3"/>
  <c r="L30" i="2"/>
  <c r="R23" i="3"/>
  <c r="Q23" i="3"/>
  <c r="P23" i="3"/>
  <c r="S14" i="3"/>
  <c r="L25" i="2"/>
  <c r="R14" i="3"/>
  <c r="F5" i="2"/>
  <c r="L26" i="2"/>
  <c r="Q14" i="3"/>
  <c r="L27" i="2"/>
  <c r="P14" i="3"/>
  <c r="S5" i="3"/>
  <c r="G25" i="2"/>
  <c r="R5" i="3"/>
  <c r="G26" i="2"/>
  <c r="Q5" i="3"/>
  <c r="G27" i="2"/>
  <c r="P5" i="3"/>
  <c r="L77" i="3"/>
  <c r="C4" i="2"/>
  <c r="K77" i="3"/>
  <c r="C5" i="2"/>
  <c r="J77" i="3"/>
  <c r="J68" i="3"/>
  <c r="K12" i="2"/>
  <c r="I68" i="3"/>
  <c r="I12" i="2"/>
  <c r="I50" i="3"/>
  <c r="J41" i="3"/>
  <c r="L32" i="3"/>
  <c r="K32" i="3"/>
  <c r="J32" i="3"/>
  <c r="I32" i="3"/>
  <c r="F9" i="2"/>
  <c r="L23" i="3"/>
  <c r="K23" i="3"/>
  <c r="J23" i="3"/>
  <c r="I23" i="3"/>
  <c r="E9" i="2"/>
  <c r="L14" i="3"/>
  <c r="I5" i="3"/>
  <c r="J40" i="2"/>
  <c r="K27" i="2"/>
  <c r="K26" i="2"/>
  <c r="K25" i="2"/>
  <c r="I26" i="2"/>
  <c r="I25" i="2"/>
  <c r="L21" i="2"/>
  <c r="K22" i="2"/>
  <c r="K21" i="2"/>
  <c r="K20" i="2"/>
  <c r="L16" i="2"/>
  <c r="L15" i="2"/>
  <c r="I17" i="2"/>
  <c r="H14" i="2"/>
  <c r="G14" i="2"/>
  <c r="E12" i="2"/>
  <c r="U48" i="4"/>
  <c r="V40" i="4"/>
  <c r="L15" i="8"/>
  <c r="L14" i="8"/>
  <c r="D19" i="8"/>
  <c r="D15" i="8"/>
  <c r="D20" i="8"/>
  <c r="D21" i="8"/>
  <c r="E19" i="8"/>
  <c r="E15" i="8"/>
  <c r="E20" i="8"/>
  <c r="E21" i="8"/>
  <c r="G19" i="8"/>
  <c r="G15" i="8"/>
  <c r="G20" i="8"/>
  <c r="G21" i="8"/>
  <c r="H19" i="8"/>
  <c r="H15" i="8"/>
  <c r="H20" i="8"/>
  <c r="H21" i="8"/>
  <c r="I19" i="8"/>
  <c r="I15" i="8"/>
  <c r="I20" i="8"/>
  <c r="I21" i="8"/>
  <c r="J19" i="8"/>
  <c r="J15" i="8"/>
  <c r="J20" i="8"/>
  <c r="J21" i="8"/>
  <c r="K19" i="8"/>
  <c r="K15" i="8"/>
  <c r="K20" i="8"/>
  <c r="K21" i="8"/>
  <c r="C15" i="8"/>
  <c r="L16" i="8"/>
  <c r="K16" i="8"/>
  <c r="C16" i="8"/>
  <c r="C17" i="8"/>
  <c r="L17" i="8"/>
  <c r="K17" i="8"/>
  <c r="J16" i="8"/>
  <c r="J17" i="8"/>
  <c r="I16" i="8"/>
  <c r="I17" i="8"/>
  <c r="H16" i="8"/>
  <c r="H17" i="8"/>
  <c r="G16" i="8"/>
  <c r="G17" i="8"/>
  <c r="F16" i="8"/>
  <c r="F17" i="8"/>
  <c r="E16" i="8"/>
  <c r="E17" i="8"/>
  <c r="D16" i="8"/>
  <c r="D17" i="8"/>
  <c r="L19" i="8"/>
  <c r="F19" i="8"/>
  <c r="C19" i="8"/>
  <c r="K14" i="8"/>
  <c r="J14" i="8"/>
  <c r="I14" i="8"/>
  <c r="H14" i="8"/>
  <c r="G14" i="8"/>
  <c r="F14" i="8"/>
  <c r="E14" i="8"/>
  <c r="D14" i="8"/>
  <c r="C14" i="8"/>
  <c r="L20" i="8"/>
  <c r="L21" i="8"/>
  <c r="L22" i="8"/>
  <c r="L24" i="8"/>
  <c r="K22" i="8"/>
  <c r="K24" i="8"/>
  <c r="J22" i="8"/>
  <c r="J24" i="8"/>
  <c r="I22" i="8"/>
  <c r="I24" i="8"/>
  <c r="H22" i="8"/>
  <c r="H24" i="8"/>
  <c r="G22" i="8"/>
  <c r="G24" i="8"/>
  <c r="E22" i="8"/>
  <c r="E24" i="8"/>
  <c r="D18" i="8"/>
  <c r="D22" i="8"/>
  <c r="D24" i="8"/>
  <c r="Z35" i="4"/>
  <c r="Z34" i="4"/>
  <c r="Z36" i="4"/>
  <c r="Z39" i="4"/>
  <c r="Z41" i="4"/>
  <c r="Z42" i="4"/>
  <c r="Z40" i="4"/>
  <c r="Z37" i="4"/>
  <c r="Z43" i="4"/>
  <c r="Z38" i="4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5" i="15"/>
  <c r="G4" i="15"/>
  <c r="P5" i="15"/>
  <c r="D19" i="6"/>
  <c r="G21" i="6"/>
  <c r="I19" i="6"/>
  <c r="C40" i="6"/>
  <c r="F14" i="6"/>
  <c r="D14" i="6"/>
  <c r="C14" i="6"/>
  <c r="AN59" i="3"/>
  <c r="AN41" i="3"/>
  <c r="AM32" i="3"/>
  <c r="AL32" i="3"/>
  <c r="L51" i="2"/>
  <c r="AL14" i="3"/>
  <c r="AL5" i="3"/>
  <c r="Z77" i="3"/>
  <c r="AG68" i="3"/>
  <c r="AE59" i="3"/>
  <c r="AG41" i="3"/>
  <c r="AD23" i="3"/>
  <c r="AG14" i="3"/>
  <c r="Z59" i="3"/>
  <c r="Z41" i="3"/>
  <c r="X41" i="3"/>
  <c r="W41" i="3"/>
  <c r="F20" i="2"/>
  <c r="Y14" i="3"/>
  <c r="F21" i="2"/>
  <c r="X14" i="3"/>
  <c r="F22" i="2"/>
  <c r="W14" i="3"/>
  <c r="Z5" i="3"/>
  <c r="F16" i="2"/>
  <c r="X5" i="3"/>
  <c r="S77" i="3"/>
  <c r="P77" i="3"/>
  <c r="S59" i="3"/>
  <c r="Q41" i="3"/>
  <c r="S32" i="3"/>
  <c r="G17" i="2"/>
  <c r="P32" i="3"/>
  <c r="L68" i="3"/>
  <c r="K68" i="3"/>
  <c r="L59" i="3"/>
  <c r="K59" i="3"/>
  <c r="J59" i="3"/>
  <c r="I59" i="3"/>
  <c r="K50" i="3"/>
  <c r="J50" i="3"/>
  <c r="K41" i="3"/>
  <c r="K14" i="3"/>
  <c r="J14" i="3"/>
  <c r="I14" i="3"/>
  <c r="L5" i="3"/>
  <c r="K5" i="3"/>
  <c r="J5" i="3"/>
  <c r="L4" i="18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66" i="16"/>
  <c r="K67" i="16"/>
  <c r="K68" i="16"/>
  <c r="K69" i="16"/>
  <c r="K70" i="16"/>
  <c r="K71" i="16"/>
  <c r="K72" i="16"/>
  <c r="K73" i="16"/>
  <c r="K74" i="16"/>
  <c r="K75" i="16"/>
  <c r="K76" i="16"/>
  <c r="K77" i="16"/>
  <c r="K78" i="16"/>
  <c r="K79" i="16"/>
  <c r="K80" i="16"/>
  <c r="K81" i="16"/>
  <c r="K82" i="16"/>
  <c r="K83" i="16"/>
  <c r="K84" i="16"/>
  <c r="K85" i="16"/>
  <c r="K86" i="16"/>
  <c r="K87" i="16"/>
  <c r="K88" i="16"/>
  <c r="K89" i="16"/>
  <c r="K90" i="16"/>
  <c r="K91" i="16"/>
  <c r="K92" i="16"/>
  <c r="K93" i="16"/>
  <c r="K94" i="16"/>
  <c r="K95" i="16"/>
  <c r="K96" i="16"/>
  <c r="K97" i="16"/>
  <c r="K98" i="16"/>
  <c r="K99" i="16"/>
  <c r="K100" i="16"/>
  <c r="K101" i="16"/>
  <c r="K102" i="16"/>
  <c r="K103" i="16"/>
  <c r="K104" i="16"/>
  <c r="K105" i="16"/>
  <c r="K106" i="16"/>
  <c r="K107" i="16"/>
  <c r="K10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I9" i="16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107" i="16"/>
  <c r="E10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58" i="16"/>
  <c r="C59" i="16"/>
  <c r="C60" i="16"/>
  <c r="C61" i="16"/>
  <c r="C62" i="16"/>
  <c r="C63" i="16"/>
  <c r="C64" i="16"/>
  <c r="C65" i="16"/>
  <c r="C66" i="16"/>
  <c r="C67" i="16"/>
  <c r="C68" i="16"/>
  <c r="C69" i="16"/>
  <c r="C70" i="16"/>
  <c r="C71" i="16"/>
  <c r="C72" i="16"/>
  <c r="C73" i="16"/>
  <c r="C74" i="16"/>
  <c r="C75" i="16"/>
  <c r="C76" i="16"/>
  <c r="C77" i="16"/>
  <c r="C78" i="16"/>
  <c r="C79" i="16"/>
  <c r="C80" i="16"/>
  <c r="C81" i="16"/>
  <c r="C82" i="16"/>
  <c r="C83" i="16"/>
  <c r="C84" i="16"/>
  <c r="C85" i="16"/>
  <c r="C86" i="16"/>
  <c r="C87" i="16"/>
  <c r="C88" i="16"/>
  <c r="C89" i="16"/>
  <c r="C90" i="16"/>
  <c r="C91" i="16"/>
  <c r="C92" i="16"/>
  <c r="C93" i="16"/>
  <c r="C94" i="16"/>
  <c r="C95" i="16"/>
  <c r="C96" i="16"/>
  <c r="C97" i="16"/>
  <c r="C98" i="16"/>
  <c r="C99" i="16"/>
  <c r="C100" i="16"/>
  <c r="C101" i="16"/>
  <c r="C102" i="16"/>
  <c r="C103" i="16"/>
  <c r="C104" i="16"/>
  <c r="C105" i="16"/>
  <c r="C106" i="16"/>
  <c r="C107" i="16"/>
  <c r="C10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B64" i="16"/>
  <c r="B65" i="16"/>
  <c r="B66" i="16"/>
  <c r="B67" i="16"/>
  <c r="B68" i="16"/>
  <c r="B69" i="16"/>
  <c r="B70" i="16"/>
  <c r="B71" i="16"/>
  <c r="B72" i="16"/>
  <c r="B73" i="16"/>
  <c r="B74" i="16"/>
  <c r="B75" i="16"/>
  <c r="B76" i="16"/>
  <c r="B77" i="16"/>
  <c r="B78" i="16"/>
  <c r="B79" i="16"/>
  <c r="B80" i="16"/>
  <c r="B81" i="16"/>
  <c r="B82" i="16"/>
  <c r="B83" i="16"/>
  <c r="B84" i="16"/>
  <c r="B85" i="16"/>
  <c r="B86" i="16"/>
  <c r="B87" i="16"/>
  <c r="B88" i="16"/>
  <c r="B89" i="16"/>
  <c r="B90" i="16"/>
  <c r="B91" i="16"/>
  <c r="B92" i="16"/>
  <c r="B93" i="16"/>
  <c r="B94" i="16"/>
  <c r="B95" i="16"/>
  <c r="B96" i="16"/>
  <c r="B97" i="16"/>
  <c r="B98" i="16"/>
  <c r="B99" i="16"/>
  <c r="B100" i="16"/>
  <c r="B101" i="16"/>
  <c r="B102" i="16"/>
  <c r="B103" i="16"/>
  <c r="B104" i="16"/>
  <c r="B105" i="16"/>
  <c r="B106" i="16"/>
  <c r="B107" i="16"/>
  <c r="B108" i="16"/>
  <c r="K6" i="16"/>
  <c r="J6" i="16"/>
  <c r="I5" i="16"/>
  <c r="I6" i="16"/>
  <c r="H6" i="16"/>
  <c r="G5" i="16"/>
  <c r="G6" i="16"/>
  <c r="F6" i="16"/>
  <c r="E5" i="16"/>
  <c r="E6" i="16"/>
  <c r="D5" i="16"/>
  <c r="D6" i="16"/>
  <c r="C6" i="16"/>
  <c r="B6" i="16"/>
  <c r="P3" i="14"/>
  <c r="P4" i="14"/>
  <c r="P5" i="14"/>
  <c r="P6" i="14"/>
  <c r="P7" i="14"/>
  <c r="P8" i="14"/>
  <c r="P9" i="14"/>
  <c r="P10" i="14"/>
  <c r="P11" i="14"/>
  <c r="P12" i="14"/>
  <c r="P13" i="14"/>
  <c r="P14" i="14"/>
  <c r="P15" i="14"/>
  <c r="P16" i="14"/>
  <c r="P17" i="14"/>
  <c r="P18" i="14"/>
  <c r="P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60" i="14"/>
  <c r="P61" i="14"/>
  <c r="P62" i="14"/>
  <c r="P63" i="14"/>
  <c r="P64" i="14"/>
  <c r="P65" i="14"/>
  <c r="P66" i="14"/>
  <c r="P67" i="14"/>
  <c r="P68" i="14"/>
  <c r="P69" i="14"/>
  <c r="P70" i="14"/>
  <c r="P71" i="14"/>
  <c r="P72" i="14"/>
  <c r="P73" i="14"/>
  <c r="P74" i="14"/>
  <c r="P75" i="14"/>
  <c r="P76" i="14"/>
  <c r="P77" i="14"/>
  <c r="P78" i="14"/>
  <c r="P79" i="14"/>
  <c r="P80" i="14"/>
  <c r="P81" i="14"/>
  <c r="P82" i="14"/>
  <c r="P83" i="14"/>
  <c r="P84" i="14"/>
  <c r="P85" i="14"/>
  <c r="P86" i="14"/>
  <c r="P87" i="14"/>
  <c r="P88" i="14"/>
  <c r="P89" i="14"/>
  <c r="P90" i="14"/>
  <c r="P91" i="14"/>
  <c r="P92" i="14"/>
  <c r="P93" i="14"/>
  <c r="P94" i="14"/>
  <c r="P95" i="14"/>
  <c r="P96" i="14"/>
  <c r="P97" i="14"/>
  <c r="P98" i="14"/>
  <c r="P99" i="14"/>
  <c r="P100" i="14"/>
  <c r="P101" i="14"/>
  <c r="P102" i="14"/>
  <c r="P103" i="14"/>
  <c r="N4" i="14"/>
  <c r="N5" i="14"/>
  <c r="N6" i="14"/>
  <c r="N7" i="14"/>
  <c r="N8" i="14"/>
  <c r="N9" i="14"/>
  <c r="N10" i="14"/>
  <c r="N11" i="14"/>
  <c r="N12" i="14"/>
  <c r="N13" i="14"/>
  <c r="N14" i="14"/>
  <c r="N15" i="14"/>
  <c r="N16" i="14"/>
  <c r="N17" i="14"/>
  <c r="N18" i="14"/>
  <c r="N19" i="14"/>
  <c r="N20" i="14"/>
  <c r="N21" i="14"/>
  <c r="N22" i="14"/>
  <c r="N23" i="14"/>
  <c r="N24" i="14"/>
  <c r="N25" i="14"/>
  <c r="N26" i="14"/>
  <c r="N27" i="14"/>
  <c r="N28" i="14"/>
  <c r="N29" i="14"/>
  <c r="N30" i="14"/>
  <c r="N31" i="14"/>
  <c r="N32" i="14"/>
  <c r="N33" i="14"/>
  <c r="N34" i="14"/>
  <c r="N35" i="14"/>
  <c r="N36" i="14"/>
  <c r="N37" i="14"/>
  <c r="N38" i="14"/>
  <c r="N39" i="14"/>
  <c r="N40" i="14"/>
  <c r="N41" i="14"/>
  <c r="N42" i="14"/>
  <c r="N43" i="14"/>
  <c r="N44" i="14"/>
  <c r="N45" i="14"/>
  <c r="N46" i="14"/>
  <c r="N47" i="14"/>
  <c r="N48" i="14"/>
  <c r="N49" i="14"/>
  <c r="N50" i="14"/>
  <c r="N51" i="14"/>
  <c r="N52" i="14"/>
  <c r="N53" i="14"/>
  <c r="N54" i="14"/>
  <c r="N55" i="14"/>
  <c r="N56" i="14"/>
  <c r="N57" i="14"/>
  <c r="N58" i="14"/>
  <c r="N59" i="14"/>
  <c r="N60" i="14"/>
  <c r="N61" i="14"/>
  <c r="N62" i="14"/>
  <c r="N63" i="14"/>
  <c r="N64" i="14"/>
  <c r="N65" i="14"/>
  <c r="N66" i="14"/>
  <c r="N67" i="14"/>
  <c r="N68" i="14"/>
  <c r="N69" i="14"/>
  <c r="N70" i="14"/>
  <c r="N71" i="14"/>
  <c r="N72" i="14"/>
  <c r="N73" i="14"/>
  <c r="N74" i="14"/>
  <c r="N75" i="14"/>
  <c r="N76" i="14"/>
  <c r="N77" i="14"/>
  <c r="N78" i="14"/>
  <c r="N79" i="14"/>
  <c r="N80" i="14"/>
  <c r="N81" i="14"/>
  <c r="N82" i="14"/>
  <c r="N83" i="14"/>
  <c r="N84" i="14"/>
  <c r="N85" i="14"/>
  <c r="N86" i="14"/>
  <c r="N87" i="14"/>
  <c r="N88" i="14"/>
  <c r="N89" i="14"/>
  <c r="N90" i="14"/>
  <c r="N91" i="14"/>
  <c r="N92" i="14"/>
  <c r="N93" i="14"/>
  <c r="N94" i="14"/>
  <c r="N95" i="14"/>
  <c r="N96" i="14"/>
  <c r="N97" i="14"/>
  <c r="N98" i="14"/>
  <c r="N99" i="14"/>
  <c r="N100" i="14"/>
  <c r="N101" i="14"/>
  <c r="N102" i="14"/>
  <c r="N103" i="14"/>
  <c r="M4" i="14"/>
  <c r="M5" i="14"/>
  <c r="M6" i="14"/>
  <c r="M7" i="14"/>
  <c r="M8" i="14"/>
  <c r="M9" i="14"/>
  <c r="M10" i="14"/>
  <c r="M11" i="14"/>
  <c r="M12" i="14"/>
  <c r="M13" i="14"/>
  <c r="M14" i="14"/>
  <c r="M15" i="14"/>
  <c r="M16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38" i="14"/>
  <c r="M39" i="14"/>
  <c r="M40" i="14"/>
  <c r="M41" i="14"/>
  <c r="M42" i="14"/>
  <c r="M43" i="14"/>
  <c r="M44" i="14"/>
  <c r="M45" i="14"/>
  <c r="M46" i="14"/>
  <c r="M47" i="14"/>
  <c r="M48" i="14"/>
  <c r="M49" i="14"/>
  <c r="M50" i="14"/>
  <c r="M51" i="14"/>
  <c r="M52" i="14"/>
  <c r="M53" i="14"/>
  <c r="M54" i="14"/>
  <c r="M55" i="14"/>
  <c r="M56" i="14"/>
  <c r="M57" i="14"/>
  <c r="M58" i="14"/>
  <c r="M59" i="14"/>
  <c r="M60" i="14"/>
  <c r="M61" i="14"/>
  <c r="M62" i="14"/>
  <c r="M63" i="14"/>
  <c r="M64" i="14"/>
  <c r="M65" i="14"/>
  <c r="M66" i="14"/>
  <c r="M67" i="14"/>
  <c r="M68" i="14"/>
  <c r="M69" i="14"/>
  <c r="M70" i="14"/>
  <c r="M71" i="14"/>
  <c r="M72" i="14"/>
  <c r="M73" i="14"/>
  <c r="M74" i="14"/>
  <c r="M75" i="14"/>
  <c r="M76" i="14"/>
  <c r="M77" i="14"/>
  <c r="M78" i="14"/>
  <c r="M79" i="14"/>
  <c r="M80" i="14"/>
  <c r="M81" i="14"/>
  <c r="M82" i="14"/>
  <c r="M83" i="14"/>
  <c r="M84" i="14"/>
  <c r="M85" i="14"/>
  <c r="M86" i="14"/>
  <c r="M87" i="14"/>
  <c r="M88" i="14"/>
  <c r="M89" i="14"/>
  <c r="M90" i="14"/>
  <c r="M91" i="14"/>
  <c r="M92" i="14"/>
  <c r="M93" i="14"/>
  <c r="M94" i="14"/>
  <c r="M95" i="14"/>
  <c r="M96" i="14"/>
  <c r="M97" i="14"/>
  <c r="M98" i="14"/>
  <c r="M99" i="14"/>
  <c r="M100" i="14"/>
  <c r="M101" i="14"/>
  <c r="M102" i="14"/>
  <c r="M103" i="14"/>
  <c r="L4" i="14"/>
  <c r="L5" i="14"/>
  <c r="L6" i="14"/>
  <c r="L7" i="14"/>
  <c r="L8" i="14"/>
  <c r="L9" i="14"/>
  <c r="L10" i="14"/>
  <c r="L11" i="14"/>
  <c r="L12" i="14"/>
  <c r="L13" i="14"/>
  <c r="L14" i="14"/>
  <c r="L15" i="14"/>
  <c r="L16" i="14"/>
  <c r="L17" i="14"/>
  <c r="L18" i="14"/>
  <c r="L19" i="14"/>
  <c r="L20" i="14"/>
  <c r="L21" i="14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5" i="14"/>
  <c r="L36" i="14"/>
  <c r="L37" i="14"/>
  <c r="L38" i="14"/>
  <c r="L39" i="14"/>
  <c r="L40" i="14"/>
  <c r="L41" i="14"/>
  <c r="L42" i="14"/>
  <c r="L43" i="14"/>
  <c r="L44" i="14"/>
  <c r="L45" i="14"/>
  <c r="L46" i="14"/>
  <c r="L47" i="14"/>
  <c r="L48" i="14"/>
  <c r="L49" i="14"/>
  <c r="L50" i="14"/>
  <c r="L51" i="14"/>
  <c r="L52" i="14"/>
  <c r="L53" i="14"/>
  <c r="L54" i="14"/>
  <c r="L55" i="14"/>
  <c r="L56" i="14"/>
  <c r="L57" i="14"/>
  <c r="L58" i="14"/>
  <c r="L59" i="14"/>
  <c r="L60" i="14"/>
  <c r="L61" i="14"/>
  <c r="L62" i="14"/>
  <c r="L63" i="14"/>
  <c r="L64" i="14"/>
  <c r="L65" i="14"/>
  <c r="L66" i="14"/>
  <c r="L67" i="14"/>
  <c r="L68" i="14"/>
  <c r="L69" i="14"/>
  <c r="L70" i="14"/>
  <c r="L71" i="14"/>
  <c r="L72" i="14"/>
  <c r="L73" i="14"/>
  <c r="L74" i="14"/>
  <c r="L75" i="14"/>
  <c r="L76" i="14"/>
  <c r="L77" i="14"/>
  <c r="L78" i="14"/>
  <c r="L79" i="14"/>
  <c r="L80" i="14"/>
  <c r="L81" i="14"/>
  <c r="L82" i="14"/>
  <c r="L83" i="14"/>
  <c r="L84" i="14"/>
  <c r="L85" i="14"/>
  <c r="L86" i="14"/>
  <c r="L87" i="14"/>
  <c r="L88" i="14"/>
  <c r="L89" i="14"/>
  <c r="L90" i="14"/>
  <c r="L91" i="14"/>
  <c r="L92" i="14"/>
  <c r="L93" i="14"/>
  <c r="L94" i="14"/>
  <c r="L95" i="14"/>
  <c r="L96" i="14"/>
  <c r="L97" i="14"/>
  <c r="L98" i="14"/>
  <c r="L99" i="14"/>
  <c r="L100" i="14"/>
  <c r="L101" i="14"/>
  <c r="L102" i="14"/>
  <c r="L103" i="14"/>
  <c r="K4" i="14"/>
  <c r="K5" i="14"/>
  <c r="K6" i="14"/>
  <c r="K7" i="14"/>
  <c r="K8" i="14"/>
  <c r="K9" i="14"/>
  <c r="K10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69" i="14"/>
  <c r="K70" i="14"/>
  <c r="K71" i="14"/>
  <c r="K72" i="14"/>
  <c r="K73" i="14"/>
  <c r="K74" i="14"/>
  <c r="K75" i="14"/>
  <c r="K7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95" i="14"/>
  <c r="K96" i="14"/>
  <c r="K97" i="14"/>
  <c r="K98" i="14"/>
  <c r="K99" i="14"/>
  <c r="K100" i="14"/>
  <c r="K101" i="14"/>
  <c r="K102" i="14"/>
  <c r="K103" i="14"/>
  <c r="J4" i="14"/>
  <c r="J5" i="14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H4" i="14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4" i="14"/>
  <c r="H85" i="14"/>
  <c r="H86" i="14"/>
  <c r="H87" i="14"/>
  <c r="H88" i="14"/>
  <c r="H89" i="14"/>
  <c r="H90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103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1" i="14"/>
  <c r="G102" i="14"/>
  <c r="G103" i="14"/>
  <c r="F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1" i="14"/>
  <c r="F92" i="14"/>
  <c r="F93" i="14"/>
  <c r="F94" i="14"/>
  <c r="F95" i="14"/>
  <c r="F96" i="14"/>
  <c r="F97" i="14"/>
  <c r="F98" i="14"/>
  <c r="F99" i="14"/>
  <c r="F100" i="14"/>
  <c r="F101" i="14"/>
  <c r="F102" i="14"/>
  <c r="F103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E101" i="14"/>
  <c r="E102" i="14"/>
  <c r="E103" i="14"/>
  <c r="A14" i="14"/>
  <c r="A13" i="14"/>
  <c r="A12" i="14"/>
  <c r="A11" i="14"/>
  <c r="A10" i="14"/>
  <c r="A9" i="14"/>
  <c r="A8" i="14"/>
  <c r="A7" i="14"/>
  <c r="A6" i="14"/>
  <c r="A5" i="14"/>
  <c r="Y12" i="12"/>
  <c r="S12" i="12"/>
  <c r="Y11" i="12"/>
  <c r="S11" i="12"/>
  <c r="Y10" i="12"/>
  <c r="S10" i="12"/>
  <c r="Y9" i="12"/>
  <c r="S9" i="12"/>
  <c r="Y8" i="12"/>
  <c r="S8" i="12"/>
  <c r="Y7" i="12"/>
  <c r="S7" i="12"/>
  <c r="Y6" i="12"/>
  <c r="S6" i="12"/>
  <c r="Y5" i="12"/>
  <c r="S5" i="12"/>
  <c r="Y4" i="12"/>
  <c r="S4" i="12"/>
  <c r="L20" i="9"/>
  <c r="L21" i="9"/>
  <c r="L22" i="9"/>
  <c r="K20" i="9"/>
  <c r="K21" i="9"/>
  <c r="K22" i="9"/>
  <c r="J20" i="9"/>
  <c r="J21" i="9"/>
  <c r="J22" i="9"/>
  <c r="I20" i="9"/>
  <c r="I21" i="9"/>
  <c r="I22" i="9"/>
  <c r="H20" i="9"/>
  <c r="H21" i="9"/>
  <c r="H22" i="9"/>
  <c r="G20" i="9"/>
  <c r="G21" i="9"/>
  <c r="G22" i="9"/>
  <c r="F20" i="9"/>
  <c r="F21" i="9"/>
  <c r="F22" i="9"/>
  <c r="E20" i="9"/>
  <c r="E21" i="9"/>
  <c r="E22" i="9"/>
  <c r="D20" i="9"/>
  <c r="D21" i="9"/>
  <c r="D22" i="9"/>
  <c r="C20" i="9"/>
  <c r="C21" i="9"/>
  <c r="C22" i="9"/>
  <c r="O10" i="9"/>
  <c r="O12" i="9"/>
  <c r="L34" i="8"/>
  <c r="L35" i="8"/>
  <c r="K34" i="8"/>
  <c r="K35" i="8"/>
  <c r="J34" i="8"/>
  <c r="J35" i="8"/>
  <c r="I34" i="8"/>
  <c r="I35" i="8"/>
  <c r="H34" i="8"/>
  <c r="H35" i="8"/>
  <c r="G34" i="8"/>
  <c r="G35" i="8"/>
  <c r="F34" i="8"/>
  <c r="F35" i="8"/>
  <c r="E34" i="8"/>
  <c r="E35" i="8"/>
  <c r="D34" i="8"/>
  <c r="D35" i="8"/>
  <c r="C34" i="8"/>
  <c r="C35" i="8"/>
  <c r="L37" i="8"/>
  <c r="K37" i="8"/>
  <c r="J37" i="8"/>
  <c r="I37" i="8"/>
  <c r="H37" i="8"/>
  <c r="G37" i="8"/>
  <c r="F37" i="8"/>
  <c r="E37" i="8"/>
  <c r="D37" i="8"/>
  <c r="C37" i="8"/>
  <c r="L10" i="8"/>
  <c r="K10" i="8"/>
  <c r="J10" i="8"/>
  <c r="I10" i="8"/>
  <c r="H10" i="8"/>
  <c r="G10" i="8"/>
  <c r="F10" i="8"/>
  <c r="E10" i="8"/>
  <c r="D10" i="8"/>
  <c r="C10" i="8"/>
  <c r="L8" i="7"/>
  <c r="C8" i="7"/>
  <c r="D8" i="7"/>
  <c r="E8" i="7"/>
  <c r="F8" i="7"/>
  <c r="G8" i="7"/>
  <c r="H8" i="7"/>
  <c r="I8" i="7"/>
  <c r="J8" i="7"/>
  <c r="K8" i="7"/>
  <c r="L30" i="7"/>
  <c r="L31" i="7"/>
  <c r="L17" i="7"/>
  <c r="L18" i="7"/>
  <c r="L19" i="7"/>
  <c r="C17" i="7"/>
  <c r="C18" i="7"/>
  <c r="C19" i="7"/>
  <c r="D17" i="7"/>
  <c r="D18" i="7"/>
  <c r="D19" i="7"/>
  <c r="E17" i="7"/>
  <c r="E18" i="7"/>
  <c r="E19" i="7"/>
  <c r="F17" i="7"/>
  <c r="F18" i="7"/>
  <c r="F19" i="7"/>
  <c r="G17" i="7"/>
  <c r="G18" i="7"/>
  <c r="G19" i="7"/>
  <c r="H17" i="7"/>
  <c r="H18" i="7"/>
  <c r="H19" i="7"/>
  <c r="I17" i="7"/>
  <c r="I18" i="7"/>
  <c r="I19" i="7"/>
  <c r="J17" i="7"/>
  <c r="J18" i="7"/>
  <c r="J19" i="7"/>
  <c r="K17" i="7"/>
  <c r="K18" i="7"/>
  <c r="K19" i="7"/>
  <c r="L32" i="7"/>
  <c r="K30" i="7"/>
  <c r="K31" i="7"/>
  <c r="K32" i="7"/>
  <c r="J30" i="7"/>
  <c r="J31" i="7"/>
  <c r="J32" i="7"/>
  <c r="I30" i="7"/>
  <c r="I31" i="7"/>
  <c r="I32" i="7"/>
  <c r="H30" i="7"/>
  <c r="H31" i="7"/>
  <c r="H32" i="7"/>
  <c r="G30" i="7"/>
  <c r="G31" i="7"/>
  <c r="G32" i="7"/>
  <c r="F30" i="7"/>
  <c r="F31" i="7"/>
  <c r="F32" i="7"/>
  <c r="E30" i="7"/>
  <c r="E31" i="7"/>
  <c r="E32" i="7"/>
  <c r="D30" i="7"/>
  <c r="D31" i="7"/>
  <c r="D32" i="7"/>
  <c r="C30" i="7"/>
  <c r="C31" i="7"/>
  <c r="C32" i="7"/>
  <c r="L33" i="7"/>
  <c r="K33" i="7"/>
  <c r="J33" i="7"/>
  <c r="I33" i="7"/>
  <c r="H33" i="7"/>
  <c r="G33" i="7"/>
  <c r="F33" i="7"/>
  <c r="E33" i="7"/>
  <c r="D33" i="7"/>
  <c r="C33" i="7"/>
  <c r="D20" i="7"/>
  <c r="F20" i="7"/>
  <c r="L12" i="7"/>
  <c r="K12" i="7"/>
  <c r="J12" i="7"/>
  <c r="I12" i="7"/>
  <c r="H12" i="7"/>
  <c r="G12" i="7"/>
  <c r="F12" i="7"/>
  <c r="E12" i="7"/>
  <c r="D12" i="7"/>
  <c r="C12" i="7"/>
  <c r="D9" i="7"/>
  <c r="G9" i="7"/>
  <c r="L5" i="6"/>
  <c r="L7" i="6"/>
  <c r="L8" i="6"/>
  <c r="C5" i="6"/>
  <c r="C7" i="6"/>
  <c r="D5" i="6"/>
  <c r="D7" i="6"/>
  <c r="D8" i="6"/>
  <c r="E5" i="6"/>
  <c r="E7" i="6"/>
  <c r="F5" i="6"/>
  <c r="F7" i="6"/>
  <c r="F8" i="6"/>
  <c r="G5" i="6"/>
  <c r="G7" i="6"/>
  <c r="G8" i="6"/>
  <c r="H5" i="6"/>
  <c r="H7" i="6"/>
  <c r="H8" i="6"/>
  <c r="I5" i="6"/>
  <c r="I7" i="6"/>
  <c r="I8" i="6"/>
  <c r="J5" i="6"/>
  <c r="J7" i="6"/>
  <c r="J8" i="6"/>
  <c r="K5" i="6"/>
  <c r="K7" i="6"/>
  <c r="K8" i="6"/>
  <c r="L38" i="6"/>
  <c r="L39" i="6"/>
  <c r="L40" i="6"/>
  <c r="G24" i="6"/>
  <c r="G26" i="6"/>
  <c r="G27" i="6"/>
  <c r="L24" i="6"/>
  <c r="L26" i="6"/>
  <c r="L27" i="6"/>
  <c r="C24" i="6"/>
  <c r="C26" i="6"/>
  <c r="C27" i="6"/>
  <c r="D24" i="6"/>
  <c r="D26" i="6"/>
  <c r="D27" i="6"/>
  <c r="E24" i="6"/>
  <c r="E26" i="6"/>
  <c r="E27" i="6"/>
  <c r="F24" i="6"/>
  <c r="F26" i="6"/>
  <c r="F27" i="6"/>
  <c r="H24" i="6"/>
  <c r="H26" i="6"/>
  <c r="H27" i="6"/>
  <c r="I24" i="6"/>
  <c r="I26" i="6"/>
  <c r="I27" i="6"/>
  <c r="J24" i="6"/>
  <c r="J26" i="6"/>
  <c r="J27" i="6"/>
  <c r="K24" i="6"/>
  <c r="K26" i="6"/>
  <c r="K27" i="6"/>
  <c r="L41" i="6"/>
  <c r="K38" i="6"/>
  <c r="K39" i="6"/>
  <c r="K40" i="6"/>
  <c r="K41" i="6"/>
  <c r="J38" i="6"/>
  <c r="J39" i="6"/>
  <c r="J40" i="6"/>
  <c r="J41" i="6"/>
  <c r="I38" i="6"/>
  <c r="I39" i="6"/>
  <c r="I40" i="6"/>
  <c r="I41" i="6"/>
  <c r="H38" i="6"/>
  <c r="H39" i="6"/>
  <c r="H40" i="6"/>
  <c r="H41" i="6"/>
  <c r="G38" i="6"/>
  <c r="G39" i="6"/>
  <c r="G40" i="6"/>
  <c r="G41" i="6"/>
  <c r="F38" i="6"/>
  <c r="F39" i="6"/>
  <c r="F40" i="6"/>
  <c r="F41" i="6"/>
  <c r="E38" i="6"/>
  <c r="E39" i="6"/>
  <c r="E40" i="6"/>
  <c r="E41" i="6"/>
  <c r="D38" i="6"/>
  <c r="D39" i="6"/>
  <c r="D40" i="6"/>
  <c r="D41" i="6"/>
  <c r="C38" i="6"/>
  <c r="C39" i="6"/>
  <c r="C41" i="6"/>
  <c r="L20" i="6"/>
  <c r="D20" i="6"/>
  <c r="G19" i="6"/>
  <c r="I21" i="6"/>
  <c r="J21" i="6"/>
  <c r="D28" i="6"/>
  <c r="F28" i="6"/>
  <c r="L23" i="6"/>
  <c r="L25" i="6"/>
  <c r="K23" i="6"/>
  <c r="K25" i="6"/>
  <c r="J23" i="6"/>
  <c r="J25" i="6"/>
  <c r="I23" i="6"/>
  <c r="I25" i="6"/>
  <c r="H23" i="6"/>
  <c r="H25" i="6"/>
  <c r="G23" i="6"/>
  <c r="G25" i="6"/>
  <c r="F23" i="6"/>
  <c r="F25" i="6"/>
  <c r="E23" i="6"/>
  <c r="E25" i="6"/>
  <c r="D23" i="6"/>
  <c r="D25" i="6"/>
  <c r="C23" i="6"/>
  <c r="C25" i="6"/>
  <c r="L21" i="6"/>
  <c r="K21" i="6"/>
  <c r="H21" i="6"/>
  <c r="D21" i="6"/>
  <c r="J19" i="6"/>
  <c r="G15" i="6"/>
  <c r="G16" i="6"/>
  <c r="E16" i="6"/>
  <c r="L14" i="6"/>
  <c r="K14" i="6"/>
  <c r="H14" i="6"/>
  <c r="L12" i="6"/>
  <c r="K12" i="6"/>
  <c r="J12" i="6"/>
  <c r="I12" i="6"/>
  <c r="H12" i="6"/>
  <c r="G12" i="6"/>
  <c r="F12" i="6"/>
  <c r="E12" i="6"/>
  <c r="D12" i="6"/>
  <c r="C12" i="6"/>
  <c r="D9" i="6"/>
  <c r="F9" i="6"/>
  <c r="AD49" i="4"/>
  <c r="AC49" i="4"/>
  <c r="Z51" i="4"/>
  <c r="Y51" i="4"/>
  <c r="X51" i="4"/>
  <c r="W51" i="4"/>
  <c r="V51" i="4"/>
  <c r="U51" i="4"/>
  <c r="T51" i="4"/>
  <c r="S51" i="4"/>
  <c r="O50" i="4"/>
  <c r="N50" i="4"/>
  <c r="AD54" i="4"/>
  <c r="AC54" i="4"/>
  <c r="Z50" i="4"/>
  <c r="Y50" i="4"/>
  <c r="X50" i="4"/>
  <c r="W50" i="4"/>
  <c r="V50" i="4"/>
  <c r="U50" i="4"/>
  <c r="T50" i="4"/>
  <c r="S50" i="4"/>
  <c r="O56" i="4"/>
  <c r="N56" i="4"/>
  <c r="AD52" i="4"/>
  <c r="AC52" i="4"/>
  <c r="Y54" i="4"/>
  <c r="X54" i="4"/>
  <c r="W54" i="4"/>
  <c r="V54" i="4"/>
  <c r="U54" i="4"/>
  <c r="S54" i="4"/>
  <c r="O53" i="4"/>
  <c r="N53" i="4"/>
  <c r="AD55" i="4"/>
  <c r="AC55" i="4"/>
  <c r="Z56" i="4"/>
  <c r="Y56" i="4"/>
  <c r="X56" i="4"/>
  <c r="W56" i="4"/>
  <c r="V56" i="4"/>
  <c r="U56" i="4"/>
  <c r="S56" i="4"/>
  <c r="O55" i="4"/>
  <c r="N55" i="4"/>
  <c r="AD51" i="4"/>
  <c r="AC51" i="4"/>
  <c r="Z53" i="4"/>
  <c r="Y53" i="4"/>
  <c r="X53" i="4"/>
  <c r="W53" i="4"/>
  <c r="V53" i="4"/>
  <c r="U53" i="4"/>
  <c r="T53" i="4"/>
  <c r="S53" i="4"/>
  <c r="O52" i="4"/>
  <c r="N52" i="4"/>
  <c r="AD53" i="4"/>
  <c r="AC53" i="4"/>
  <c r="Z52" i="4"/>
  <c r="Y52" i="4"/>
  <c r="X52" i="4"/>
  <c r="W52" i="4"/>
  <c r="V52" i="4"/>
  <c r="U52" i="4"/>
  <c r="T52" i="4"/>
  <c r="S52" i="4"/>
  <c r="O49" i="4"/>
  <c r="N49" i="4"/>
  <c r="AD50" i="4"/>
  <c r="AC50" i="4"/>
  <c r="Z55" i="4"/>
  <c r="Y55" i="4"/>
  <c r="X55" i="4"/>
  <c r="W55" i="4"/>
  <c r="V55" i="4"/>
  <c r="U55" i="4"/>
  <c r="S55" i="4"/>
  <c r="O51" i="4"/>
  <c r="N51" i="4"/>
  <c r="AD57" i="4"/>
  <c r="AC57" i="4"/>
  <c r="Y49" i="4"/>
  <c r="W49" i="4"/>
  <c r="V49" i="4"/>
  <c r="U49" i="4"/>
  <c r="T49" i="4"/>
  <c r="S49" i="4"/>
  <c r="O57" i="4"/>
  <c r="N57" i="4"/>
  <c r="AD56" i="4"/>
  <c r="AC56" i="4"/>
  <c r="Z48" i="4"/>
  <c r="Y48" i="4"/>
  <c r="W48" i="4"/>
  <c r="T48" i="4"/>
  <c r="S48" i="4"/>
  <c r="O54" i="4"/>
  <c r="N54" i="4"/>
  <c r="AD48" i="4"/>
  <c r="AC48" i="4"/>
  <c r="Z57" i="4"/>
  <c r="Y57" i="4"/>
  <c r="X57" i="4"/>
  <c r="W57" i="4"/>
  <c r="U57" i="4"/>
  <c r="T57" i="4"/>
  <c r="S57" i="4"/>
  <c r="O48" i="4"/>
  <c r="N48" i="4"/>
  <c r="AD36" i="4"/>
  <c r="AC36" i="4"/>
  <c r="Y35" i="4"/>
  <c r="X35" i="4"/>
  <c r="W35" i="4"/>
  <c r="V35" i="4"/>
  <c r="U35" i="4"/>
  <c r="T35" i="4"/>
  <c r="S35" i="4"/>
  <c r="O42" i="4"/>
  <c r="N42" i="4"/>
  <c r="AD43" i="4"/>
  <c r="AC43" i="4"/>
  <c r="Y34" i="4"/>
  <c r="X34" i="4"/>
  <c r="W34" i="4"/>
  <c r="V34" i="4"/>
  <c r="U34" i="4"/>
  <c r="T34" i="4"/>
  <c r="S34" i="4"/>
  <c r="O43" i="4"/>
  <c r="N43" i="4"/>
  <c r="AD41" i="4"/>
  <c r="AC41" i="4"/>
  <c r="Y36" i="4"/>
  <c r="X36" i="4"/>
  <c r="V36" i="4"/>
  <c r="U36" i="4"/>
  <c r="T36" i="4"/>
  <c r="S36" i="4"/>
  <c r="O35" i="4"/>
  <c r="N35" i="4"/>
  <c r="AD42" i="4"/>
  <c r="AC42" i="4"/>
  <c r="Y39" i="4"/>
  <c r="X39" i="4"/>
  <c r="W39" i="4"/>
  <c r="V39" i="4"/>
  <c r="U39" i="4"/>
  <c r="T39" i="4"/>
  <c r="S39" i="4"/>
  <c r="O40" i="4"/>
  <c r="N40" i="4"/>
  <c r="AD34" i="4"/>
  <c r="AC34" i="4"/>
  <c r="Y41" i="4"/>
  <c r="X41" i="4"/>
  <c r="V41" i="4"/>
  <c r="U41" i="4"/>
  <c r="T41" i="4"/>
  <c r="S41" i="4"/>
  <c r="O34" i="4"/>
  <c r="N34" i="4"/>
  <c r="AD39" i="4"/>
  <c r="AC39" i="4"/>
  <c r="Y42" i="4"/>
  <c r="X42" i="4"/>
  <c r="W42" i="4"/>
  <c r="V42" i="4"/>
  <c r="U42" i="4"/>
  <c r="T42" i="4"/>
  <c r="S42" i="4"/>
  <c r="O39" i="4"/>
  <c r="N39" i="4"/>
  <c r="AD38" i="4"/>
  <c r="AC38" i="4"/>
  <c r="Y40" i="4"/>
  <c r="X40" i="4"/>
  <c r="W40" i="4"/>
  <c r="U40" i="4"/>
  <c r="T40" i="4"/>
  <c r="S40" i="4"/>
  <c r="O36" i="4"/>
  <c r="N36" i="4"/>
  <c r="AD40" i="4"/>
  <c r="AC40" i="4"/>
  <c r="Y37" i="4"/>
  <c r="X37" i="4"/>
  <c r="W37" i="4"/>
  <c r="U37" i="4"/>
  <c r="T37" i="4"/>
  <c r="S37" i="4"/>
  <c r="O41" i="4"/>
  <c r="N41" i="4"/>
  <c r="AD37" i="4"/>
  <c r="AC37" i="4"/>
  <c r="Y43" i="4"/>
  <c r="X43" i="4"/>
  <c r="W43" i="4"/>
  <c r="V43" i="4"/>
  <c r="U43" i="4"/>
  <c r="T43" i="4"/>
  <c r="S43" i="4"/>
  <c r="O38" i="4"/>
  <c r="N38" i="4"/>
  <c r="AD35" i="4"/>
  <c r="AC35" i="4"/>
  <c r="Y38" i="4"/>
  <c r="X38" i="4"/>
  <c r="W38" i="4"/>
  <c r="V38" i="4"/>
  <c r="U38" i="4"/>
  <c r="T38" i="4"/>
  <c r="S38" i="4"/>
  <c r="O37" i="4"/>
  <c r="N37" i="4"/>
  <c r="AM77" i="3"/>
  <c r="AD77" i="3"/>
  <c r="AF68" i="3"/>
  <c r="AE68" i="3"/>
  <c r="AD68" i="3"/>
  <c r="S68" i="3"/>
  <c r="AF59" i="3"/>
  <c r="AD59" i="3"/>
  <c r="X59" i="3"/>
  <c r="R59" i="3"/>
  <c r="Q59" i="3"/>
  <c r="P59" i="3"/>
  <c r="S50" i="3"/>
  <c r="R50" i="3"/>
  <c r="Q50" i="3"/>
  <c r="L50" i="3"/>
  <c r="AK41" i="3"/>
  <c r="Y32" i="3"/>
  <c r="X32" i="3"/>
  <c r="W32" i="3"/>
  <c r="AN23" i="3"/>
  <c r="AM23" i="3"/>
  <c r="AL23" i="3"/>
  <c r="AF14" i="3"/>
  <c r="AE14" i="3"/>
  <c r="AK5" i="3"/>
  <c r="AF5" i="3"/>
  <c r="AE5" i="3"/>
  <c r="C27" i="2"/>
  <c r="C29" i="2"/>
  <c r="L7" i="2"/>
  <c r="K7" i="2"/>
  <c r="J7" i="2"/>
  <c r="I7" i="2"/>
  <c r="H7" i="2"/>
  <c r="G7" i="2"/>
  <c r="F7" i="2"/>
  <c r="E7" i="2"/>
  <c r="D7" i="2"/>
  <c r="C7" i="2"/>
  <c r="M45" i="1"/>
  <c r="M47" i="1"/>
</calcChain>
</file>

<file path=xl/sharedStrings.xml><?xml version="1.0" encoding="utf-8"?>
<sst xmlns="http://schemas.openxmlformats.org/spreadsheetml/2006/main" count="3220" uniqueCount="487">
  <si>
    <t>COORDONNEES HELIO-ECLIPTIQUES</t>
  </si>
  <si>
    <t>LONG -1</t>
  </si>
  <si>
    <t>LONG J</t>
  </si>
  <si>
    <t>LAT -1</t>
  </si>
  <si>
    <t>LAT J</t>
  </si>
  <si>
    <t>RVH -1</t>
  </si>
  <si>
    <t>RVH</t>
  </si>
  <si>
    <t>LONG PERI</t>
  </si>
  <si>
    <t>LONG NOEUD</t>
  </si>
  <si>
    <t>b</t>
  </si>
  <si>
    <t>c</t>
  </si>
  <si>
    <t>d</t>
  </si>
  <si>
    <t>L</t>
  </si>
  <si>
    <t>e</t>
  </si>
  <si>
    <t>f</t>
  </si>
  <si>
    <t>g</t>
  </si>
  <si>
    <t>h</t>
  </si>
  <si>
    <t>i</t>
  </si>
  <si>
    <t>j</t>
  </si>
  <si>
    <t>COORDONNEES TOPO-GEO-ECLIPTIQUES (TGE)</t>
  </si>
  <si>
    <t>RVG -1</t>
  </si>
  <si>
    <t>RVG J</t>
  </si>
  <si>
    <t>Axes Horizon- Méridien</t>
  </si>
  <si>
    <t>a</t>
  </si>
  <si>
    <t>COORDONNEES EQUATORIALES</t>
  </si>
  <si>
    <t>COORDONNEES TOPOCENTRIQUES</t>
  </si>
  <si>
    <t>AZIMUT</t>
  </si>
  <si>
    <t xml:space="preserve">HAUTEUR </t>
  </si>
  <si>
    <t>MAGNITUDE</t>
  </si>
  <si>
    <t>RVT</t>
  </si>
  <si>
    <r>
      <rPr>
        <sz val="8"/>
        <color indexed="28"/>
        <rFont val="Arial"/>
        <family val="2"/>
      </rPr>
      <t xml:space="preserve">Lever-Coucher </t>
    </r>
    <r>
      <rPr>
        <sz val="11"/>
        <color indexed="28"/>
        <rFont val="Horoscope2000"/>
      </rPr>
      <t>a</t>
    </r>
  </si>
  <si>
    <t>SECTEURS</t>
  </si>
  <si>
    <t>0°0 '  ≠&gt; 0,0°</t>
  </si>
  <si>
    <t>Données Natales</t>
  </si>
  <si>
    <t>ou + 180°</t>
  </si>
  <si>
    <t>CALCULS DES ASPECTS</t>
  </si>
  <si>
    <t>Lg</t>
  </si>
  <si>
    <r>
      <rPr>
        <sz val="28"/>
        <color indexed="37"/>
        <rFont val="Horoscope2000"/>
      </rPr>
      <t>a</t>
    </r>
    <r>
      <rPr>
        <vertAlign val="superscript"/>
        <sz val="18"/>
        <color indexed="37"/>
        <rFont val="Astronomic Signs St"/>
      </rPr>
      <t>L</t>
    </r>
  </si>
  <si>
    <t>I</t>
  </si>
  <si>
    <t>Hélio</t>
  </si>
  <si>
    <t>R</t>
  </si>
  <si>
    <t>TGE</t>
  </si>
  <si>
    <t>O</t>
  </si>
  <si>
    <t>Equa</t>
  </si>
  <si>
    <t>S</t>
  </si>
  <si>
    <t>Topo</t>
  </si>
  <si>
    <t>5ème</t>
  </si>
  <si>
    <r>
      <rPr>
        <sz val="18"/>
        <color indexed="52"/>
        <rFont val="Horoscope2000"/>
      </rPr>
      <t>a</t>
    </r>
    <r>
      <rPr>
        <vertAlign val="superscript"/>
        <sz val="12"/>
        <color indexed="52"/>
        <rFont val="Astronomic Signs St"/>
      </rPr>
      <t>L</t>
    </r>
  </si>
  <si>
    <t>LUNE</t>
  </si>
  <si>
    <t>Pouvoirs &amp; Rupteurs RET</t>
  </si>
  <si>
    <t>Représentation</t>
  </si>
  <si>
    <t>Existence</t>
  </si>
  <si>
    <t>Transcendance</t>
  </si>
  <si>
    <t>P</t>
  </si>
  <si>
    <r>
      <rPr>
        <sz val="12"/>
        <color indexed="10"/>
        <rFont val="Arial"/>
        <family val="2"/>
      </rPr>
      <t>S</t>
    </r>
    <r>
      <rPr>
        <vertAlign val="superscript"/>
        <sz val="12"/>
        <color indexed="10"/>
        <rFont val="Arial"/>
        <family val="2"/>
      </rPr>
      <t xml:space="preserve"> 5</t>
    </r>
  </si>
  <si>
    <r>
      <rPr>
        <sz val="12"/>
        <color indexed="10"/>
        <rFont val="Arial"/>
        <family val="2"/>
      </rPr>
      <t xml:space="preserve">O </t>
    </r>
    <r>
      <rPr>
        <vertAlign val="superscript"/>
        <sz val="12"/>
        <color indexed="10"/>
        <rFont val="Arial"/>
        <family val="2"/>
      </rPr>
      <t>5</t>
    </r>
  </si>
  <si>
    <r>
      <rPr>
        <sz val="12"/>
        <color indexed="10"/>
        <rFont val="Arial"/>
        <family val="2"/>
      </rPr>
      <t xml:space="preserve">R </t>
    </r>
    <r>
      <rPr>
        <vertAlign val="superscript"/>
        <sz val="12"/>
        <color indexed="10"/>
        <rFont val="Arial"/>
        <family val="2"/>
      </rPr>
      <t>5</t>
    </r>
  </si>
  <si>
    <r>
      <rPr>
        <sz val="12"/>
        <color indexed="10"/>
        <rFont val="Arial"/>
        <family val="2"/>
      </rPr>
      <t xml:space="preserve">I </t>
    </r>
    <r>
      <rPr>
        <vertAlign val="superscript"/>
        <sz val="12"/>
        <color indexed="10"/>
        <rFont val="Arial"/>
        <family val="2"/>
      </rPr>
      <t>5</t>
    </r>
  </si>
  <si>
    <t>r</t>
  </si>
  <si>
    <r>
      <rPr>
        <sz val="12"/>
        <color indexed="10"/>
        <rFont val="Arial"/>
        <family val="2"/>
      </rPr>
      <t>S</t>
    </r>
    <r>
      <rPr>
        <vertAlign val="superscript"/>
        <sz val="12"/>
        <color indexed="10"/>
        <rFont val="Arial"/>
        <family val="2"/>
      </rPr>
      <t>5</t>
    </r>
  </si>
  <si>
    <r>
      <rPr>
        <sz val="12"/>
        <color indexed="10"/>
        <rFont val="Arial"/>
        <family val="2"/>
      </rPr>
      <t>O</t>
    </r>
    <r>
      <rPr>
        <vertAlign val="superscript"/>
        <sz val="12"/>
        <color indexed="10"/>
        <rFont val="Arial"/>
        <family val="2"/>
      </rPr>
      <t>5</t>
    </r>
  </si>
  <si>
    <t>% &amp; % ORBES</t>
  </si>
  <si>
    <r>
      <rPr>
        <sz val="18"/>
        <color indexed="11"/>
        <rFont val="Horoscope2000"/>
      </rPr>
      <t>b</t>
    </r>
    <r>
      <rPr>
        <sz val="18"/>
        <color indexed="35"/>
        <rFont val="Horoscope2000"/>
      </rPr>
      <t>c</t>
    </r>
  </si>
  <si>
    <t>.</t>
  </si>
  <si>
    <r>
      <rPr>
        <sz val="18"/>
        <color indexed="23"/>
        <rFont val="Horoscope2000"/>
      </rPr>
      <t>a</t>
    </r>
    <r>
      <rPr>
        <sz val="12"/>
        <color indexed="23"/>
        <rFont val="Astronomic Signs St"/>
      </rPr>
      <t>L</t>
    </r>
    <r>
      <rPr>
        <sz val="18"/>
        <color indexed="17"/>
        <rFont val="Horoscope2000"/>
      </rPr>
      <t>e</t>
    </r>
  </si>
  <si>
    <r>
      <rPr>
        <sz val="18"/>
        <color indexed="23"/>
        <rFont val="Horoscope2000"/>
      </rPr>
      <t>a</t>
    </r>
    <r>
      <rPr>
        <sz val="12"/>
        <color indexed="23"/>
        <rFont val="Astronomic Signs St"/>
      </rPr>
      <t>L</t>
    </r>
    <r>
      <rPr>
        <sz val="18"/>
        <color indexed="35"/>
        <rFont val="Horoscope2000"/>
      </rPr>
      <t>c</t>
    </r>
  </si>
  <si>
    <r>
      <rPr>
        <sz val="18"/>
        <color indexed="17"/>
        <rFont val="Horoscope2000"/>
      </rPr>
      <t>e</t>
    </r>
    <r>
      <rPr>
        <sz val="18"/>
        <color rgb="FFED7D31"/>
        <rFont val="Horoscope2000"/>
      </rPr>
      <t>f</t>
    </r>
  </si>
  <si>
    <r>
      <rPr>
        <sz val="18"/>
        <color indexed="32"/>
        <rFont val="Horoscope2000"/>
      </rPr>
      <t>h</t>
    </r>
    <r>
      <rPr>
        <sz val="18"/>
        <color indexed="60"/>
        <rFont val="Horoscope2000"/>
      </rPr>
      <t>j</t>
    </r>
  </si>
  <si>
    <t>ë</t>
  </si>
  <si>
    <t>Ê</t>
  </si>
  <si>
    <r>
      <rPr>
        <sz val="24"/>
        <color indexed="17"/>
        <rFont val="Horoscope2000"/>
      </rPr>
      <t>Ë</t>
    </r>
    <r>
      <rPr>
        <sz val="24"/>
        <color rgb="FF00CCFF"/>
        <rFont val="Horoscope2000"/>
      </rPr>
      <t xml:space="preserve"> Ì</t>
    </r>
  </si>
  <si>
    <r>
      <rPr>
        <sz val="24"/>
        <color rgb="FF00CCFF"/>
        <rFont val="Horoscope2000"/>
      </rPr>
      <t xml:space="preserve">Í </t>
    </r>
    <r>
      <rPr>
        <sz val="24"/>
        <color indexed="17"/>
        <rFont val="Horoscope2000"/>
      </rPr>
      <t>Ï</t>
    </r>
    <r>
      <rPr>
        <sz val="24"/>
        <color rgb="FF00CCFF"/>
        <rFont val="Horoscope2000"/>
      </rPr>
      <t xml:space="preserve"> </t>
    </r>
  </si>
  <si>
    <t>Ù</t>
  </si>
  <si>
    <t>VALEUR °</t>
  </si>
  <si>
    <t>F</t>
  </si>
  <si>
    <t>orbe</t>
  </si>
  <si>
    <t>RANG 1</t>
  </si>
  <si>
    <t>0 &lt;-&gt; 2,5° = 100%</t>
  </si>
  <si>
    <t xml:space="preserve">  ± 0° = 100%</t>
  </si>
  <si>
    <t>0° = 100%</t>
  </si>
  <si>
    <t>% NATURE</t>
  </si>
  <si>
    <t>2,5 &lt;-&gt; 5° = 110%</t>
  </si>
  <si>
    <t>0 &lt;-&gt; 2,5° = 110%</t>
  </si>
  <si>
    <t>0 &lt;-&gt; 1° = 110%</t>
  </si>
  <si>
    <t>0 &lt;-&gt; 0,5° = 110%</t>
  </si>
  <si>
    <t>% ORBE</t>
  </si>
  <si>
    <t>5 &lt;-&gt; 10° = 120%</t>
  </si>
  <si>
    <t>2,5 &lt;-&gt; 5° = 120%</t>
  </si>
  <si>
    <t>1 &lt;-&gt; 2,5° = 120%</t>
  </si>
  <si>
    <t>0,5 &lt;-&gt; 1° = 120%</t>
  </si>
  <si>
    <t>% APPLI-SEPA</t>
  </si>
  <si>
    <t>10 &lt;-&gt; 15° = 130%</t>
  </si>
  <si>
    <t>5 &lt;-&gt; 7,5° = 130%</t>
  </si>
  <si>
    <t>2,5 &lt;-&gt; 3,5° = 130%</t>
  </si>
  <si>
    <t>1 &lt;-&gt; 1,5° = 130%</t>
  </si>
  <si>
    <t>% PARALLELE</t>
  </si>
  <si>
    <t>15 &lt;-&gt; 20° = 140%</t>
  </si>
  <si>
    <t>7,5 &lt;-&gt; 10° = 140%</t>
  </si>
  <si>
    <t>3,5 &lt;-&gt; 5° = 140%</t>
  </si>
  <si>
    <t>1, &lt;-&gt; 2° = 140%</t>
  </si>
  <si>
    <t>RANG 2</t>
  </si>
  <si>
    <r>
      <rPr>
        <sz val="18"/>
        <color indexed="23"/>
        <rFont val="Horoscope2000"/>
      </rPr>
      <t>a</t>
    </r>
    <r>
      <rPr>
        <sz val="12"/>
        <color indexed="23"/>
        <rFont val="Astronomic Signs St"/>
      </rPr>
      <t>L</t>
    </r>
    <r>
      <rPr>
        <sz val="18"/>
        <color indexed="60"/>
        <rFont val="Horoscope2000"/>
      </rPr>
      <t>j</t>
    </r>
  </si>
  <si>
    <r>
      <rPr>
        <sz val="18"/>
        <color indexed="17"/>
        <rFont val="Horoscope2000"/>
      </rPr>
      <t>e</t>
    </r>
    <r>
      <rPr>
        <sz val="18"/>
        <color indexed="55"/>
        <rFont val="Horoscope2000"/>
      </rPr>
      <t>g</t>
    </r>
  </si>
  <si>
    <r>
      <rPr>
        <sz val="18"/>
        <color indexed="33"/>
        <rFont val="Horoscope2000"/>
      </rPr>
      <t>i</t>
    </r>
    <r>
      <rPr>
        <sz val="18"/>
        <color indexed="60"/>
        <rFont val="Horoscope2000"/>
      </rPr>
      <t>j</t>
    </r>
  </si>
  <si>
    <t>E</t>
  </si>
  <si>
    <t>Ì</t>
  </si>
  <si>
    <t>Ë</t>
  </si>
  <si>
    <t>Í</t>
  </si>
  <si>
    <r>
      <rPr>
        <sz val="18"/>
        <color indexed="34"/>
        <rFont val="Horoscope2000"/>
      </rPr>
      <t>b</t>
    </r>
    <r>
      <rPr>
        <sz val="18"/>
        <color indexed="23"/>
        <rFont val="Horoscope2000"/>
      </rPr>
      <t>a</t>
    </r>
    <r>
      <rPr>
        <sz val="11"/>
        <color indexed="23"/>
        <rFont val="Astronomic Signs St"/>
      </rPr>
      <t>L</t>
    </r>
  </si>
  <si>
    <r>
      <rPr>
        <sz val="16"/>
        <color indexed="17"/>
        <rFont val="Horoscope2000"/>
      </rPr>
      <t>e</t>
    </r>
    <r>
      <rPr>
        <sz val="18"/>
        <color indexed="60"/>
        <rFont val="Horoscope2000"/>
      </rPr>
      <t>j</t>
    </r>
  </si>
  <si>
    <r>
      <rPr>
        <sz val="18"/>
        <color indexed="35"/>
        <rFont val="Horoscope2000"/>
      </rPr>
      <t>c</t>
    </r>
    <r>
      <rPr>
        <sz val="18"/>
        <color indexed="36"/>
        <rFont val="Horoscope2000"/>
      </rPr>
      <t>d</t>
    </r>
  </si>
  <si>
    <r>
      <rPr>
        <sz val="18"/>
        <color rgb="FFED7D31"/>
        <rFont val="Horoscope2000"/>
      </rPr>
      <t>f</t>
    </r>
    <r>
      <rPr>
        <sz val="18"/>
        <color indexed="55"/>
        <rFont val="Horoscope2000"/>
      </rPr>
      <t>g</t>
    </r>
  </si>
  <si>
    <r>
      <rPr>
        <sz val="18"/>
        <color indexed="32"/>
        <rFont val="Horoscope2000"/>
      </rPr>
      <t>h</t>
    </r>
    <r>
      <rPr>
        <sz val="18"/>
        <color indexed="33"/>
        <rFont val="Horoscope2000"/>
      </rPr>
      <t>i</t>
    </r>
  </si>
  <si>
    <t>Ï</t>
  </si>
  <si>
    <t xml:space="preserve">       </t>
  </si>
  <si>
    <r>
      <rPr>
        <sz val="18"/>
        <color indexed="34"/>
        <rFont val="Horoscope2000"/>
      </rPr>
      <t>b</t>
    </r>
    <r>
      <rPr>
        <sz val="18"/>
        <color indexed="17"/>
        <rFont val="Horoscope2000"/>
      </rPr>
      <t>e</t>
    </r>
  </si>
  <si>
    <r>
      <rPr>
        <sz val="16"/>
        <color indexed="35"/>
        <rFont val="Horoscope2000"/>
      </rPr>
      <t>c</t>
    </r>
    <r>
      <rPr>
        <sz val="16"/>
        <color indexed="17"/>
        <rFont val="Horoscope2000"/>
      </rPr>
      <t>e</t>
    </r>
  </si>
  <si>
    <r>
      <rPr>
        <sz val="18"/>
        <color indexed="23"/>
        <rFont val="Horoscope2000"/>
      </rPr>
      <t>a</t>
    </r>
    <r>
      <rPr>
        <sz val="12"/>
        <color indexed="23"/>
        <rFont val="Astronomic Signs St"/>
      </rPr>
      <t>L</t>
    </r>
    <r>
      <rPr>
        <sz val="18"/>
        <color rgb="FFED7D31"/>
        <rFont val="Horoscope2000"/>
      </rPr>
      <t>f</t>
    </r>
  </si>
  <si>
    <r>
      <rPr>
        <sz val="18"/>
        <color indexed="35"/>
        <rFont val="Horoscope2000"/>
      </rPr>
      <t>c</t>
    </r>
    <r>
      <rPr>
        <sz val="18"/>
        <color indexed="60"/>
        <rFont val="Horoscope2000"/>
      </rPr>
      <t>j</t>
    </r>
  </si>
  <si>
    <r>
      <rPr>
        <sz val="18"/>
        <color indexed="34"/>
        <rFont val="Horoscope2000"/>
      </rPr>
      <t>b</t>
    </r>
    <r>
      <rPr>
        <sz val="18"/>
        <color rgb="FFED7D31"/>
        <rFont val="Horoscope2000"/>
      </rPr>
      <t>f</t>
    </r>
  </si>
  <si>
    <r>
      <rPr>
        <sz val="18"/>
        <color indexed="23"/>
        <rFont val="Horoscope2000"/>
      </rPr>
      <t>a</t>
    </r>
    <r>
      <rPr>
        <sz val="12"/>
        <color indexed="23"/>
        <rFont val="Astronomic Signs St"/>
      </rPr>
      <t>L</t>
    </r>
    <r>
      <rPr>
        <sz val="18"/>
        <color indexed="32"/>
        <rFont val="Horoscope2000"/>
      </rPr>
      <t>h</t>
    </r>
  </si>
  <si>
    <r>
      <rPr>
        <sz val="18"/>
        <color indexed="17"/>
        <rFont val="Horoscope2000"/>
      </rPr>
      <t>e</t>
    </r>
    <r>
      <rPr>
        <sz val="18"/>
        <color indexed="33"/>
        <rFont val="Horoscope2000"/>
      </rPr>
      <t>i</t>
    </r>
  </si>
  <si>
    <r>
      <rPr>
        <sz val="18"/>
        <color indexed="35"/>
        <rFont val="Horoscope2000"/>
      </rPr>
      <t>c</t>
    </r>
    <r>
      <rPr>
        <sz val="18"/>
        <color indexed="55"/>
        <rFont val="Horoscope2000"/>
      </rPr>
      <t>g</t>
    </r>
  </si>
  <si>
    <r>
      <rPr>
        <sz val="18"/>
        <color indexed="34"/>
        <rFont val="Horoscope2000"/>
      </rPr>
      <t>b</t>
    </r>
    <r>
      <rPr>
        <sz val="18"/>
        <color rgb="FF941100"/>
        <rFont val="Horoscope2000"/>
      </rPr>
      <t>g</t>
    </r>
  </si>
  <si>
    <r>
      <rPr>
        <sz val="18"/>
        <color indexed="23"/>
        <rFont val="Horoscope2000"/>
      </rPr>
      <t>a</t>
    </r>
    <r>
      <rPr>
        <sz val="12"/>
        <color indexed="23"/>
        <rFont val="Astronomic Signs St"/>
      </rPr>
      <t>L</t>
    </r>
    <r>
      <rPr>
        <sz val="18"/>
        <color indexed="55"/>
        <rFont val="Horoscope2000"/>
      </rPr>
      <t>g</t>
    </r>
  </si>
  <si>
    <r>
      <rPr>
        <sz val="18"/>
        <color indexed="38"/>
        <rFont val="Horoscope2000"/>
      </rPr>
      <t>f</t>
    </r>
    <r>
      <rPr>
        <sz val="18"/>
        <color indexed="32"/>
        <rFont val="Horoscope2000"/>
      </rPr>
      <t>h</t>
    </r>
  </si>
  <si>
    <r>
      <rPr>
        <sz val="18"/>
        <color indexed="55"/>
        <rFont val="Horoscope2000"/>
      </rPr>
      <t>g</t>
    </r>
    <r>
      <rPr>
        <sz val="18"/>
        <color indexed="60"/>
        <rFont val="Horoscope2000"/>
      </rPr>
      <t>j</t>
    </r>
  </si>
  <si>
    <r>
      <rPr>
        <sz val="18"/>
        <color indexed="34"/>
        <rFont val="Horoscope2000"/>
      </rPr>
      <t>b</t>
    </r>
    <r>
      <rPr>
        <sz val="18"/>
        <color indexed="32"/>
        <rFont val="Horoscope2000"/>
      </rPr>
      <t>h</t>
    </r>
  </si>
  <si>
    <r>
      <rPr>
        <sz val="18"/>
        <color indexed="23"/>
        <rFont val="Horoscope2000"/>
      </rPr>
      <t>a</t>
    </r>
    <r>
      <rPr>
        <sz val="12"/>
        <color indexed="23"/>
        <rFont val="Astronomic Signs St"/>
      </rPr>
      <t>L</t>
    </r>
    <r>
      <rPr>
        <sz val="18"/>
        <color indexed="56"/>
        <rFont val="Horoscope2000"/>
      </rPr>
      <t>i</t>
    </r>
  </si>
  <si>
    <r>
      <rPr>
        <sz val="18"/>
        <color indexed="35"/>
        <rFont val="Horoscope2000"/>
      </rPr>
      <t>c</t>
    </r>
    <r>
      <rPr>
        <sz val="18"/>
        <color rgb="FFED7D31"/>
        <rFont val="Horoscope2000"/>
      </rPr>
      <t>f</t>
    </r>
  </si>
  <si>
    <r>
      <rPr>
        <sz val="18"/>
        <color indexed="35"/>
        <rFont val="Horoscope2000"/>
      </rPr>
      <t>c</t>
    </r>
    <r>
      <rPr>
        <sz val="18"/>
        <color indexed="32"/>
        <rFont val="Horoscope2000"/>
      </rPr>
      <t>h</t>
    </r>
  </si>
  <si>
    <r>
      <rPr>
        <sz val="18"/>
        <color indexed="34"/>
        <rFont val="Horoscope2000"/>
      </rPr>
      <t>b</t>
    </r>
    <r>
      <rPr>
        <sz val="18"/>
        <color indexed="50"/>
        <rFont val="Horoscope2000"/>
      </rPr>
      <t>i</t>
    </r>
  </si>
  <si>
    <r>
      <rPr>
        <sz val="18"/>
        <color indexed="17"/>
        <rFont val="Horoscope2000"/>
      </rPr>
      <t>e</t>
    </r>
    <r>
      <rPr>
        <sz val="18"/>
        <color indexed="32"/>
        <rFont val="Horoscope2000"/>
      </rPr>
      <t>h</t>
    </r>
  </si>
  <si>
    <r>
      <rPr>
        <sz val="18"/>
        <color rgb="FFED7D31"/>
        <rFont val="Horoscope2000"/>
      </rPr>
      <t>f</t>
    </r>
    <r>
      <rPr>
        <sz val="18"/>
        <color indexed="33"/>
        <rFont val="Horoscope2000"/>
      </rPr>
      <t>i</t>
    </r>
  </si>
  <si>
    <r>
      <rPr>
        <sz val="18"/>
        <color indexed="35"/>
        <rFont val="Horoscope2000"/>
      </rPr>
      <t>c</t>
    </r>
    <r>
      <rPr>
        <sz val="18"/>
        <color indexed="33"/>
        <rFont val="Horoscope2000"/>
      </rPr>
      <t>i</t>
    </r>
  </si>
  <si>
    <r>
      <rPr>
        <sz val="18"/>
        <color indexed="34"/>
        <rFont val="Horoscope2000"/>
      </rPr>
      <t>b</t>
    </r>
    <r>
      <rPr>
        <sz val="18"/>
        <color indexed="60"/>
        <rFont val="Horoscope2000"/>
      </rPr>
      <t>j</t>
    </r>
  </si>
  <si>
    <r>
      <rPr>
        <sz val="18"/>
        <color rgb="FFED7D31"/>
        <rFont val="Horoscope2000"/>
      </rPr>
      <t>f</t>
    </r>
    <r>
      <rPr>
        <sz val="18"/>
        <color indexed="60"/>
        <rFont val="Horoscope2000"/>
      </rPr>
      <t>j</t>
    </r>
  </si>
  <si>
    <r>
      <rPr>
        <sz val="18"/>
        <color indexed="55"/>
        <rFont val="Horoscope2000"/>
      </rPr>
      <t>g</t>
    </r>
    <r>
      <rPr>
        <sz val="18"/>
        <color indexed="33"/>
        <rFont val="Horoscope2000"/>
      </rPr>
      <t>i</t>
    </r>
  </si>
  <si>
    <r>
      <rPr>
        <sz val="18"/>
        <color indexed="55"/>
        <rFont val="Horoscope2000"/>
      </rPr>
      <t>g</t>
    </r>
    <r>
      <rPr>
        <sz val="18"/>
        <color indexed="32"/>
        <rFont val="Horoscope2000"/>
      </rPr>
      <t>h</t>
    </r>
  </si>
  <si>
    <t>ACP°</t>
  </si>
  <si>
    <t>%</t>
  </si>
  <si>
    <t>HAUT°</t>
  </si>
  <si>
    <t>Echelle</t>
  </si>
  <si>
    <t>m</t>
  </si>
  <si>
    <t>u</t>
  </si>
  <si>
    <t>q</t>
  </si>
  <si>
    <t>p</t>
  </si>
  <si>
    <t>o</t>
  </si>
  <si>
    <t>SR</t>
  </si>
  <si>
    <t>/ 5</t>
  </si>
  <si>
    <t>/5</t>
  </si>
  <si>
    <t>/4</t>
  </si>
  <si>
    <t>TOPO-SUJET</t>
  </si>
  <si>
    <t>EQUAT-OBJET</t>
  </si>
  <si>
    <t>TGE-RELATION</t>
  </si>
  <si>
    <t>HELIO-INTEGRATION</t>
  </si>
  <si>
    <t>HIERA GEI</t>
  </si>
  <si>
    <t>Comptage simple</t>
  </si>
  <si>
    <t>DECLI°</t>
  </si>
  <si>
    <t>APMA</t>
  </si>
  <si>
    <r>
      <rPr>
        <b/>
        <sz val="10"/>
        <color indexed="10"/>
        <rFont val="Arial"/>
        <family val="2"/>
      </rPr>
      <t xml:space="preserve">IGG </t>
    </r>
    <r>
      <rPr>
        <b/>
        <vertAlign val="superscript"/>
        <sz val="10"/>
        <color indexed="10"/>
        <rFont val="Arial"/>
        <family val="2"/>
      </rPr>
      <t>M/RVG^2</t>
    </r>
  </si>
  <si>
    <t>PQEQ°</t>
  </si>
  <si>
    <t>Helio</t>
  </si>
  <si>
    <t>Hiérachie TGE Michel sans l'échelle des Latitudes</t>
  </si>
  <si>
    <t>AHM°</t>
  </si>
  <si>
    <t>AAL°</t>
  </si>
  <si>
    <t>IGG TGE</t>
  </si>
  <si>
    <t>PQTGE°</t>
  </si>
  <si>
    <t>SORI</t>
  </si>
  <si>
    <t>APPEL A</t>
  </si>
  <si>
    <t>REPONSE</t>
  </si>
  <si>
    <t>Tendances</t>
  </si>
  <si>
    <t>RET</t>
  </si>
  <si>
    <t>Abandon</t>
  </si>
  <si>
    <t>Inspiration</t>
  </si>
  <si>
    <t>T</t>
  </si>
  <si>
    <t>Réalisme</t>
  </si>
  <si>
    <t>Sensualité</t>
  </si>
  <si>
    <t>Régulation</t>
  </si>
  <si>
    <r>
      <rPr>
        <sz val="16"/>
        <color indexed="23"/>
        <rFont val="Horoscope2000"/>
      </rPr>
      <t>a</t>
    </r>
    <r>
      <rPr>
        <vertAlign val="superscript"/>
        <sz val="14"/>
        <color indexed="23"/>
        <rFont val="Astronomic Signs St"/>
      </rPr>
      <t>L</t>
    </r>
  </si>
  <si>
    <t>Lucidité</t>
  </si>
  <si>
    <t>t</t>
  </si>
  <si>
    <t>Décision</t>
  </si>
  <si>
    <t>Ingéniosité</t>
  </si>
  <si>
    <t>Tet</t>
  </si>
  <si>
    <t xml:space="preserve"> </t>
  </si>
  <si>
    <t>Sociabilité</t>
  </si>
  <si>
    <t>AAPS°</t>
  </si>
  <si>
    <t>ANŒ°</t>
  </si>
  <si>
    <r>
      <rPr>
        <b/>
        <sz val="10"/>
        <color indexed="10"/>
        <rFont val="Arial"/>
        <family val="2"/>
      </rPr>
      <t xml:space="preserve">IGH </t>
    </r>
    <r>
      <rPr>
        <b/>
        <vertAlign val="superscript"/>
        <sz val="10"/>
        <color indexed="10"/>
        <rFont val="Arial"/>
        <family val="2"/>
      </rPr>
      <t>M/RVH^2</t>
    </r>
  </si>
  <si>
    <t>PQH°</t>
  </si>
  <si>
    <t>LAT°</t>
  </si>
  <si>
    <t>SoriAspectral</t>
  </si>
  <si>
    <t>A</t>
  </si>
  <si>
    <t>B</t>
  </si>
  <si>
    <t>C</t>
  </si>
  <si>
    <t>TOPO - SUJET</t>
  </si>
  <si>
    <t>EQUAT - OBJET</t>
  </si>
  <si>
    <t>HELIO - INTEGRATION</t>
  </si>
  <si>
    <t>D</t>
  </si>
  <si>
    <t>G</t>
  </si>
  <si>
    <t>H</t>
  </si>
  <si>
    <t>Ps</t>
  </si>
  <si>
    <r>
      <rPr>
        <b/>
        <sz val="10"/>
        <color indexed="10"/>
        <rFont val="Arial"/>
        <family val="2"/>
      </rPr>
      <t xml:space="preserve">sr </t>
    </r>
    <r>
      <rPr>
        <b/>
        <vertAlign val="superscript"/>
        <sz val="10"/>
        <color indexed="10"/>
        <rFont val="Arial"/>
        <family val="2"/>
      </rPr>
      <t>/ 5</t>
    </r>
  </si>
  <si>
    <t>s</t>
  </si>
  <si>
    <t>R %</t>
  </si>
  <si>
    <r>
      <rPr>
        <b/>
        <sz val="10"/>
        <color indexed="10"/>
        <rFont val="Arial"/>
        <family val="2"/>
      </rPr>
      <t>sr</t>
    </r>
    <r>
      <rPr>
        <b/>
        <vertAlign val="superscript"/>
        <sz val="10"/>
        <color indexed="10"/>
        <rFont val="Arial"/>
        <family val="2"/>
      </rPr>
      <t xml:space="preserve"> / 5</t>
    </r>
  </si>
  <si>
    <t>M</t>
  </si>
  <si>
    <t>J</t>
  </si>
  <si>
    <t>K</t>
  </si>
  <si>
    <t xml:space="preserve">                     </t>
  </si>
  <si>
    <t>HIÉRARCHIE HÉLIOCENTRIQUE</t>
  </si>
  <si>
    <t>Masse</t>
  </si>
  <si>
    <t>Longitude - 1</t>
  </si>
  <si>
    <t>LONG-1</t>
  </si>
  <si>
    <t>Longitude</t>
  </si>
  <si>
    <t>PQH</t>
  </si>
  <si>
    <t>VITECH</t>
  </si>
  <si>
    <t>PQH GLOBAL</t>
  </si>
  <si>
    <t>R PQH GLOBAL</t>
  </si>
  <si>
    <t>LAT-1</t>
  </si>
  <si>
    <t>PQ LAT</t>
  </si>
  <si>
    <t>PERI</t>
  </si>
  <si>
    <t>MERI 2</t>
  </si>
  <si>
    <t>APHÉ</t>
  </si>
  <si>
    <t>MERI 1</t>
  </si>
  <si>
    <t>ANG APS</t>
  </si>
  <si>
    <t>ANGAPS</t>
  </si>
  <si>
    <t>N NORD</t>
  </si>
  <si>
    <t>P1</t>
  </si>
  <si>
    <t>N SUD</t>
  </si>
  <si>
    <t>P2</t>
  </si>
  <si>
    <t>ANG Nœuds</t>
  </si>
  <si>
    <t>ANG N</t>
  </si>
  <si>
    <t>DIST-1</t>
  </si>
  <si>
    <t>DIST J</t>
  </si>
  <si>
    <t>PASDJ</t>
  </si>
  <si>
    <t>IGH</t>
  </si>
  <si>
    <t>IG</t>
  </si>
  <si>
    <t>ECH IGH</t>
  </si>
  <si>
    <t>ECH IG</t>
  </si>
  <si>
    <t>IGH GLOBAL</t>
  </si>
  <si>
    <t>R IGH GLOBAL</t>
  </si>
  <si>
    <t>ASPECT</t>
  </si>
  <si>
    <t>VITESSE</t>
  </si>
  <si>
    <t>ANG NOD</t>
  </si>
  <si>
    <t>RANGS</t>
  </si>
  <si>
    <t>HIÉRARCHIE TOPOGÉOÉCLIPTIQUE</t>
  </si>
  <si>
    <t>LONG - 1</t>
  </si>
  <si>
    <t>Degrés</t>
  </si>
  <si>
    <t>PQG LONG</t>
  </si>
  <si>
    <t>PAS J R</t>
  </si>
  <si>
    <t>PQG GLOBAL</t>
  </si>
  <si>
    <t>RANG PQG GLOBAL</t>
  </si>
  <si>
    <t>LAT - 1</t>
  </si>
  <si>
    <t>PQG LAT</t>
  </si>
  <si>
    <t xml:space="preserve">AS - DS </t>
  </si>
  <si>
    <t>MC - FC</t>
  </si>
  <si>
    <t xml:space="preserve">AS DS </t>
  </si>
  <si>
    <t>ANG HM</t>
  </si>
  <si>
    <t>ANGLES</t>
  </si>
  <si>
    <t>klb</t>
  </si>
  <si>
    <t>k</t>
  </si>
  <si>
    <t>l</t>
  </si>
  <si>
    <t>Pole 1</t>
  </si>
  <si>
    <t>Pole 2</t>
  </si>
  <si>
    <t>AAL</t>
  </si>
  <si>
    <t>RV TGE</t>
  </si>
  <si>
    <t>IGG</t>
  </si>
  <si>
    <t>Echelle IGG</t>
  </si>
  <si>
    <t>IGG GLOBAL</t>
  </si>
  <si>
    <t>R IGG GLOBAL</t>
  </si>
  <si>
    <t>ECH RV TGE</t>
  </si>
  <si>
    <t>ASPECTS</t>
  </si>
  <si>
    <t>VITESSES</t>
  </si>
  <si>
    <t>AHM</t>
  </si>
  <si>
    <t xml:space="preserve">HIÉRARCHIE ÉQUATORIALE </t>
  </si>
  <si>
    <t>PQE LONG</t>
  </si>
  <si>
    <t>Décli -1</t>
  </si>
  <si>
    <t>Décli J</t>
  </si>
  <si>
    <t xml:space="preserve">PQE DECLI   </t>
  </si>
  <si>
    <t>RV Apogée</t>
  </si>
  <si>
    <t>RV Mérigée  1&amp;2</t>
  </si>
  <si>
    <t>RV Mérigée</t>
  </si>
  <si>
    <t xml:space="preserve">RV Périgée </t>
  </si>
  <si>
    <t>RVE - 1</t>
  </si>
  <si>
    <t>1=a=RVE J</t>
  </si>
  <si>
    <t>2=b=RVH J</t>
  </si>
  <si>
    <t>3=c=RVTS J</t>
  </si>
  <si>
    <t>4=p=a+b+c/2</t>
  </si>
  <si>
    <t>6=Racine carré</t>
  </si>
  <si>
    <t>PERI-APO</t>
  </si>
  <si>
    <t>PERIAPO</t>
  </si>
  <si>
    <t>DECLINAISON</t>
  </si>
  <si>
    <t>HIÉRARCHIE ÉQUATORIALE</t>
  </si>
  <si>
    <t xml:space="preserve">HIÉRARCHIE TOPOCENTRIQUE </t>
  </si>
  <si>
    <t>AZ J °</t>
  </si>
  <si>
    <t>LSCN</t>
  </si>
  <si>
    <t>Azimut Levant =</t>
  </si>
  <si>
    <t>Azimut Couchant =</t>
  </si>
  <si>
    <t>SUD = 0</t>
  </si>
  <si>
    <t>NORD = 180</t>
  </si>
  <si>
    <t>ACP °</t>
  </si>
  <si>
    <t>MAGNIITUDE J</t>
  </si>
  <si>
    <t>Echelle MAGNI</t>
  </si>
  <si>
    <t>HAUT J</t>
  </si>
  <si>
    <t>ACP</t>
  </si>
  <si>
    <t>HELIO
Inté</t>
  </si>
  <si>
    <t>beh</t>
  </si>
  <si>
    <t>cdij</t>
  </si>
  <si>
    <t>afg</t>
  </si>
  <si>
    <t>Matériau</t>
  </si>
  <si>
    <t>TGE
Rela</t>
  </si>
  <si>
    <t>EQUA
Objet</t>
  </si>
  <si>
    <t>SC</t>
  </si>
  <si>
    <t>SD</t>
  </si>
  <si>
    <t>SE</t>
  </si>
  <si>
    <t>Synthèse</t>
  </si>
  <si>
    <t>Hémisphères</t>
  </si>
  <si>
    <t>Planètes</t>
  </si>
  <si>
    <t>Rangs</t>
  </si>
  <si>
    <t>MAISONS</t>
  </si>
  <si>
    <t>ORIENTAL</t>
  </si>
  <si>
    <t>OCCIDENTAL</t>
  </si>
  <si>
    <t>DIURNE</t>
  </si>
  <si>
    <t>NOCTURNE</t>
  </si>
  <si>
    <t>Quadrants</t>
  </si>
  <si>
    <t>PRE</t>
  </si>
  <si>
    <t>MISE</t>
  </si>
  <si>
    <t>PLEIN</t>
  </si>
  <si>
    <t>POST</t>
  </si>
  <si>
    <t>ECHELLE</t>
  </si>
  <si>
    <t>GLOBALE ++</t>
  </si>
  <si>
    <t>GLOBAL - -</t>
  </si>
  <si>
    <t>Inclinaison°</t>
  </si>
  <si>
    <t>Total°</t>
  </si>
  <si>
    <t>Géo</t>
  </si>
  <si>
    <t>Sud°</t>
  </si>
  <si>
    <t>Nord°</t>
  </si>
  <si>
    <t>Libration Latitude°</t>
  </si>
  <si>
    <t>Libration Latitude rad</t>
  </si>
  <si>
    <t>Rayon Vecteur UA</t>
  </si>
  <si>
    <t>Total</t>
  </si>
  <si>
    <t>PAS  / 100</t>
  </si>
  <si>
    <t>GLOBALE</t>
  </si>
  <si>
    <t>Corrigés</t>
  </si>
  <si>
    <t>V-S-L</t>
  </si>
  <si>
    <t>Maximum</t>
  </si>
  <si>
    <t>Minimum</t>
  </si>
  <si>
    <t>Par 100</t>
  </si>
  <si>
    <t>Global</t>
  </si>
  <si>
    <t xml:space="preserve">  </t>
  </si>
  <si>
    <t>GLOBAL</t>
  </si>
  <si>
    <t>AS =</t>
  </si>
  <si>
    <t>II =</t>
  </si>
  <si>
    <t>III =</t>
  </si>
  <si>
    <t>V =</t>
  </si>
  <si>
    <t xml:space="preserve">VI = </t>
  </si>
  <si>
    <t>IX =</t>
  </si>
  <si>
    <t>VIII =</t>
  </si>
  <si>
    <t>MC =</t>
  </si>
  <si>
    <t>NN =</t>
  </si>
  <si>
    <t>H Lever  =</t>
  </si>
  <si>
    <t>H Coucher =</t>
  </si>
  <si>
    <t>AZ Coucher =</t>
  </si>
  <si>
    <t>AZ Lever =</t>
  </si>
  <si>
    <t xml:space="preserve">                            </t>
  </si>
  <si>
    <t>DS =</t>
  </si>
  <si>
    <t>FC =</t>
  </si>
  <si>
    <t xml:space="preserve">   </t>
  </si>
  <si>
    <t>VI =</t>
  </si>
  <si>
    <t>XI =</t>
  </si>
  <si>
    <t>XII =</t>
  </si>
  <si>
    <t>PHASES</t>
  </si>
  <si>
    <t>PERI-MERI-APO</t>
  </si>
  <si>
    <r>
      <t xml:space="preserve">RVT </t>
    </r>
    <r>
      <rPr>
        <b/>
        <vertAlign val="superscript"/>
        <sz val="10"/>
        <color indexed="10"/>
        <rFont val="Arial"/>
        <family val="2"/>
      </rPr>
      <t>UA</t>
    </r>
  </si>
  <si>
    <t>II</t>
  </si>
  <si>
    <t>VII</t>
  </si>
  <si>
    <t>VIII</t>
  </si>
  <si>
    <t>VI</t>
  </si>
  <si>
    <t>IX</t>
  </si>
  <si>
    <t>V</t>
  </si>
  <si>
    <t>L°</t>
  </si>
  <si>
    <t>R%</t>
  </si>
  <si>
    <t>IV</t>
  </si>
  <si>
    <r>
      <t xml:space="preserve">ESPACE  </t>
    </r>
    <r>
      <rPr>
        <vertAlign val="superscript"/>
        <sz val="12"/>
        <color indexed="10"/>
        <rFont val="Arial"/>
        <family val="2"/>
      </rPr>
      <t>n°1</t>
    </r>
  </si>
  <si>
    <r>
      <t xml:space="preserve">V - </t>
    </r>
    <r>
      <rPr>
        <vertAlign val="superscript"/>
        <sz val="14"/>
        <color indexed="10"/>
        <rFont val="Arial"/>
        <family val="2"/>
      </rPr>
      <t>n°3</t>
    </r>
    <r>
      <rPr>
        <sz val="14"/>
        <color indexed="10"/>
        <rFont val="Arial"/>
        <family val="2"/>
      </rPr>
      <t xml:space="preserve"> </t>
    </r>
  </si>
  <si>
    <t>SC =</t>
  </si>
  <si>
    <t>SD =</t>
  </si>
  <si>
    <t>SE =</t>
  </si>
  <si>
    <t xml:space="preserve">Italiques = Famille </t>
  </si>
  <si>
    <t>RET partielle</t>
  </si>
  <si>
    <t>Droit = Famille</t>
  </si>
  <si>
    <t xml:space="preserve"> RET Complète</t>
  </si>
  <si>
    <t>LONG J-1</t>
  </si>
  <si>
    <t>200m</t>
  </si>
  <si>
    <r>
      <rPr>
        <sz val="18"/>
        <color rgb="FFFF8CFB"/>
        <rFont val="Horoscope2000"/>
      </rPr>
      <t>d</t>
    </r>
    <r>
      <rPr>
        <sz val="18"/>
        <color rgb="FFFF0000"/>
        <rFont val="Horoscope2000"/>
      </rPr>
      <t>e</t>
    </r>
  </si>
  <si>
    <r>
      <t>a</t>
    </r>
    <r>
      <rPr>
        <sz val="12"/>
        <color indexed="23"/>
        <rFont val="Astronomic Signs St"/>
      </rPr>
      <t>L</t>
    </r>
    <r>
      <rPr>
        <sz val="18"/>
        <color rgb="FFFF8CFB"/>
        <rFont val="Horoscope2000"/>
      </rPr>
      <t>d</t>
    </r>
  </si>
  <si>
    <r>
      <rPr>
        <sz val="18"/>
        <color rgb="FFFF8CFB"/>
        <rFont val="Horoscope2000"/>
      </rPr>
      <t>d</t>
    </r>
    <r>
      <rPr>
        <sz val="18"/>
        <color indexed="60"/>
        <rFont val="Horoscope2000"/>
      </rPr>
      <t>j</t>
    </r>
  </si>
  <si>
    <r>
      <rPr>
        <sz val="18"/>
        <color rgb="FFFF8CFB"/>
        <rFont val="Horoscope2000"/>
      </rPr>
      <t>d</t>
    </r>
    <r>
      <rPr>
        <sz val="18"/>
        <color indexed="55"/>
        <rFont val="Horoscope2000"/>
      </rPr>
      <t>g</t>
    </r>
  </si>
  <si>
    <r>
      <rPr>
        <sz val="18"/>
        <color rgb="FFFF8CFB"/>
        <rFont val="Horoscope2000"/>
      </rPr>
      <t>d</t>
    </r>
    <r>
      <rPr>
        <sz val="18"/>
        <color indexed="33"/>
        <rFont val="Horoscope2000"/>
      </rPr>
      <t>i</t>
    </r>
  </si>
  <si>
    <r>
      <rPr>
        <sz val="18"/>
        <color rgb="FFFF8CFB"/>
        <rFont val="Horoscope2000"/>
      </rPr>
      <t>d</t>
    </r>
    <r>
      <rPr>
        <sz val="18"/>
        <color rgb="FFED7D31"/>
        <rFont val="Horoscope2000"/>
      </rPr>
      <t>f</t>
    </r>
  </si>
  <si>
    <r>
      <rPr>
        <sz val="18"/>
        <color rgb="FFFF8CFB"/>
        <rFont val="Horoscope2000"/>
      </rPr>
      <t>d</t>
    </r>
    <r>
      <rPr>
        <sz val="18"/>
        <color indexed="32"/>
        <rFont val="Horoscope2000"/>
      </rPr>
      <t>h</t>
    </r>
  </si>
  <si>
    <r>
      <t>b</t>
    </r>
    <r>
      <rPr>
        <sz val="18"/>
        <color rgb="FFFF8CFB"/>
        <rFont val="Horoscope2000"/>
      </rPr>
      <t>d</t>
    </r>
  </si>
  <si>
    <r>
      <t xml:space="preserve">Bases des Rangs Hiérarchiques de la feuille </t>
    </r>
    <r>
      <rPr>
        <b/>
        <i/>
        <sz val="10"/>
        <color indexed="49"/>
        <rFont val="Arial"/>
        <family val="2"/>
      </rPr>
      <t>Hiéra SORI %</t>
    </r>
  </si>
  <si>
    <t xml:space="preserve">P=100% A=90% M1=85% M2=80% </t>
  </si>
  <si>
    <t>NN=100% NS=90% P1=85% P2=80%</t>
  </si>
  <si>
    <t xml:space="preserve">AS=100% MC=90% DS=85% FC=80% </t>
  </si>
  <si>
    <t>Base des Rangs Hiérarchiques de la feuille Hiéra SORI %</t>
  </si>
  <si>
    <t xml:space="preserve">L=100% S=90% C=85% N=80% </t>
  </si>
  <si>
    <t>% CM°</t>
  </si>
  <si>
    <r>
      <t>(SR +</t>
    </r>
    <r>
      <rPr>
        <vertAlign val="superscript"/>
        <sz val="9"/>
        <color indexed="10"/>
        <rFont val="Arial"/>
        <family val="2"/>
      </rPr>
      <t>4</t>
    </r>
    <r>
      <rPr>
        <sz val="9"/>
        <color indexed="10"/>
        <rFont val="Arial"/>
        <family val="2"/>
      </rPr>
      <t>) /4</t>
    </r>
  </si>
  <si>
    <r>
      <t>b</t>
    </r>
    <r>
      <rPr>
        <sz val="18"/>
        <color rgb="FF941100"/>
        <rFont val="Horoscope2000"/>
      </rPr>
      <t>g</t>
    </r>
  </si>
  <si>
    <r>
      <t>b</t>
    </r>
    <r>
      <rPr>
        <sz val="18"/>
        <color indexed="23"/>
        <rFont val="Horoscope2000"/>
      </rPr>
      <t>a</t>
    </r>
    <r>
      <rPr>
        <vertAlign val="superscript"/>
        <sz val="11"/>
        <color indexed="23"/>
        <rFont val="Astronomic Signs St"/>
      </rPr>
      <t>L</t>
    </r>
  </si>
  <si>
    <r>
      <t>a</t>
    </r>
    <r>
      <rPr>
        <sz val="18"/>
        <color indexed="55"/>
        <rFont val="Horoscope2000"/>
      </rPr>
      <t>g</t>
    </r>
  </si>
  <si>
    <r>
      <t>a</t>
    </r>
    <r>
      <rPr>
        <sz val="18"/>
        <color indexed="35"/>
        <rFont val="Horoscope2000"/>
      </rPr>
      <t>c</t>
    </r>
  </si>
  <si>
    <r>
      <rPr>
        <sz val="12"/>
        <color indexed="23"/>
        <rFont val="Astronomic Signs St"/>
      </rPr>
      <t>L</t>
    </r>
    <r>
      <rPr>
        <sz val="18"/>
        <color rgb="FFFF8CFB"/>
        <rFont val="Horoscope2000"/>
      </rPr>
      <t>d</t>
    </r>
  </si>
  <si>
    <r>
      <rPr>
        <sz val="12"/>
        <color indexed="23"/>
        <rFont val="Astronomic Signs St"/>
      </rPr>
      <t>L</t>
    </r>
    <r>
      <rPr>
        <sz val="18"/>
        <color rgb="FFED7D31"/>
        <rFont val="Horoscope2000"/>
      </rPr>
      <t>f</t>
    </r>
  </si>
  <si>
    <r>
      <t>a</t>
    </r>
    <r>
      <rPr>
        <vertAlign val="superscript"/>
        <sz val="12"/>
        <color indexed="23"/>
        <rFont val="Astronomic Signs St"/>
      </rPr>
      <t>L</t>
    </r>
    <r>
      <rPr>
        <sz val="18"/>
        <color indexed="60"/>
        <rFont val="Horoscope2000"/>
      </rPr>
      <t>j</t>
    </r>
  </si>
  <si>
    <r>
      <t>a</t>
    </r>
    <r>
      <rPr>
        <vertAlign val="superscript"/>
        <sz val="12"/>
        <color indexed="23"/>
        <rFont val="Astronomic Signs St"/>
      </rPr>
      <t>L</t>
    </r>
    <r>
      <rPr>
        <sz val="18"/>
        <color indexed="17"/>
        <rFont val="Horoscope2000"/>
      </rPr>
      <t>e</t>
    </r>
  </si>
  <si>
    <r>
      <t>a</t>
    </r>
    <r>
      <rPr>
        <sz val="18"/>
        <color indexed="32"/>
        <rFont val="Horoscope2000"/>
      </rPr>
      <t>h</t>
    </r>
  </si>
  <si>
    <t xml:space="preserve">Finale Soriade </t>
  </si>
  <si>
    <t>XII</t>
  </si>
  <si>
    <t>XI</t>
  </si>
  <si>
    <t>Base des Rangs Hiérarchiques de la feuille HIéra SORI %</t>
  </si>
  <si>
    <r>
      <t>j</t>
    </r>
    <r>
      <rPr>
        <sz val="18"/>
        <color rgb="FF941100"/>
        <rFont val="Horoscope2000"/>
      </rPr>
      <t>g</t>
    </r>
  </si>
  <si>
    <r>
      <t>a</t>
    </r>
    <r>
      <rPr>
        <vertAlign val="superscript"/>
        <sz val="14"/>
        <color indexed="23"/>
        <rFont val="Astronomic Signs St"/>
      </rPr>
      <t>L</t>
    </r>
  </si>
  <si>
    <r>
      <t>L</t>
    </r>
    <r>
      <rPr>
        <vertAlign val="superscript"/>
        <sz val="16"/>
        <color theme="0" tint="-0.499984740745262"/>
        <rFont val="Horoscope2000"/>
      </rPr>
      <t>b</t>
    </r>
  </si>
  <si>
    <t>e, E</t>
  </si>
  <si>
    <r>
      <t>h</t>
    </r>
    <r>
      <rPr>
        <sz val="18"/>
        <color rgb="FFFF8CFB"/>
        <rFont val="Horoscope2000"/>
      </rPr>
      <t>d</t>
    </r>
  </si>
  <si>
    <t>ca</t>
  </si>
  <si>
    <r>
      <rPr>
        <sz val="16"/>
        <color rgb="FF00B050"/>
        <rFont val="Horoscope2000"/>
      </rPr>
      <t>c</t>
    </r>
    <r>
      <rPr>
        <sz val="16"/>
        <color theme="7" tint="0.39997558519241921"/>
        <rFont val="Horoscope2000"/>
      </rPr>
      <t>a</t>
    </r>
  </si>
  <si>
    <r>
      <t>e</t>
    </r>
    <r>
      <rPr>
        <sz val="18"/>
        <color rgb="FF9437FF"/>
        <rFont val="Horoscope2000"/>
      </rPr>
      <t>i</t>
    </r>
  </si>
  <si>
    <t>relais rt,eR</t>
  </si>
  <si>
    <r>
      <rPr>
        <i/>
        <sz val="10"/>
        <color indexed="29"/>
        <rFont val="Arial"/>
        <family val="2"/>
      </rPr>
      <t>P, R,</t>
    </r>
    <r>
      <rPr>
        <sz val="10"/>
        <color indexed="29"/>
        <rFont val="Arial"/>
        <family val="2"/>
      </rPr>
      <t xml:space="preserve"> t</t>
    </r>
  </si>
  <si>
    <t>ei</t>
  </si>
  <si>
    <r>
      <t xml:space="preserve">ENERGIE </t>
    </r>
    <r>
      <rPr>
        <vertAlign val="superscript"/>
        <sz val="12"/>
        <color indexed="10"/>
        <rFont val="Arial"/>
        <family val="2"/>
      </rPr>
      <t>n°2</t>
    </r>
  </si>
  <si>
    <r>
      <t xml:space="preserve">STRUCTURE </t>
    </r>
    <r>
      <rPr>
        <vertAlign val="superscript"/>
        <sz val="12"/>
        <color indexed="10"/>
        <rFont val="Arial"/>
        <family val="2"/>
      </rPr>
      <t>n°3</t>
    </r>
  </si>
  <si>
    <r>
      <t xml:space="preserve">TEMPS  </t>
    </r>
    <r>
      <rPr>
        <vertAlign val="superscript"/>
        <sz val="12"/>
        <color indexed="10"/>
        <rFont val="Arial"/>
        <family val="2"/>
      </rPr>
      <t>n°4</t>
    </r>
  </si>
  <si>
    <r>
      <t xml:space="preserve">L + </t>
    </r>
    <r>
      <rPr>
        <vertAlign val="superscript"/>
        <sz val="14"/>
        <color indexed="10"/>
        <rFont val="Arial"/>
        <family val="2"/>
      </rPr>
      <t>n°1</t>
    </r>
  </si>
  <si>
    <r>
      <t xml:space="preserve">V + </t>
    </r>
    <r>
      <rPr>
        <vertAlign val="superscript"/>
        <sz val="14"/>
        <color indexed="10"/>
        <rFont val="Arial"/>
        <family val="2"/>
      </rPr>
      <t xml:space="preserve">n°2 </t>
    </r>
  </si>
  <si>
    <r>
      <t xml:space="preserve">L - </t>
    </r>
    <r>
      <rPr>
        <vertAlign val="superscript"/>
        <sz val="14"/>
        <color indexed="10"/>
        <rFont val="Arial"/>
        <family val="2"/>
      </rPr>
      <t>n°4</t>
    </r>
  </si>
  <si>
    <t>Discours (R&amp;T non-e)</t>
  </si>
  <si>
    <r>
      <rPr>
        <sz val="14"/>
        <color theme="7" tint="0.39997558519241921"/>
        <rFont val="Horoscope2000"/>
      </rPr>
      <t>a</t>
    </r>
    <r>
      <rPr>
        <sz val="14"/>
        <color indexed="60"/>
        <rFont val="Horoscope2000"/>
      </rPr>
      <t>j</t>
    </r>
    <r>
      <rPr>
        <sz val="14"/>
        <color rgb="FF941100"/>
        <rFont val="Horoscope2000"/>
      </rPr>
      <t>g</t>
    </r>
  </si>
  <si>
    <t>tR</t>
  </si>
  <si>
    <t>rE</t>
  </si>
  <si>
    <t>ajg</t>
  </si>
  <si>
    <t>ajgb</t>
  </si>
  <si>
    <t>hdcf</t>
  </si>
  <si>
    <t>dh</t>
  </si>
  <si>
    <t>dhc</t>
  </si>
  <si>
    <t>dhcajg</t>
  </si>
  <si>
    <t>eifb</t>
  </si>
  <si>
    <r>
      <t>p,</t>
    </r>
    <r>
      <rPr>
        <i/>
        <sz val="10"/>
        <color theme="0" tint="-0.34998626667073579"/>
        <rFont val="Arial"/>
        <family val="2"/>
      </rPr>
      <t xml:space="preserve"> e, E</t>
    </r>
  </si>
  <si>
    <t>bdhc</t>
  </si>
  <si>
    <t>ajgeif</t>
  </si>
  <si>
    <r>
      <t xml:space="preserve">p, </t>
    </r>
    <r>
      <rPr>
        <i/>
        <sz val="10"/>
        <color theme="0" tint="-0.34998626667073579"/>
        <rFont val="Arial"/>
        <family val="2"/>
      </rPr>
      <t>R,</t>
    </r>
    <r>
      <rPr>
        <sz val="10"/>
        <color theme="0" tint="-0.34998626667073579"/>
        <rFont val="Arial"/>
        <family val="2"/>
      </rPr>
      <t xml:space="preserve"> rT</t>
    </r>
  </si>
  <si>
    <r>
      <rPr>
        <i/>
        <sz val="10"/>
        <color theme="0" tint="-0.34998626667073579"/>
        <rFont val="Arial"/>
        <family val="2"/>
      </rPr>
      <t>P</t>
    </r>
    <r>
      <rPr>
        <sz val="10"/>
        <color theme="0" tint="-0.34998626667073579"/>
        <rFont val="Arial"/>
        <family val="2"/>
      </rPr>
      <t xml:space="preserve">, R, t, </t>
    </r>
    <r>
      <rPr>
        <i/>
        <sz val="10"/>
        <color theme="0" tint="-0.34998626667073579"/>
        <rFont val="Arial"/>
        <family val="2"/>
      </rPr>
      <t>r</t>
    </r>
  </si>
  <si>
    <r>
      <t xml:space="preserve">P, E, </t>
    </r>
    <r>
      <rPr>
        <i/>
        <sz val="10"/>
        <color theme="0" tint="-0.34998626667073579"/>
        <rFont val="Arial"/>
        <family val="2"/>
      </rPr>
      <t>e, t, r</t>
    </r>
  </si>
  <si>
    <t>P, t</t>
  </si>
  <si>
    <t>R, r</t>
  </si>
  <si>
    <t>jg</t>
  </si>
  <si>
    <t>rR</t>
  </si>
  <si>
    <t>eif</t>
  </si>
  <si>
    <t>relais R</t>
  </si>
  <si>
    <t>Satori</t>
  </si>
  <si>
    <t>06 11 1993</t>
  </si>
  <si>
    <t>10h25</t>
  </si>
  <si>
    <t>9h25 TU</t>
  </si>
  <si>
    <t>Boisse-Penchot</t>
  </si>
  <si>
    <t>44N35'28"</t>
  </si>
  <si>
    <t>2E12'27"</t>
  </si>
  <si>
    <t>Hiéra natale Gilles</t>
  </si>
  <si>
    <t>Hiéra Satori GEI</t>
  </si>
  <si>
    <t>Pré</t>
  </si>
  <si>
    <t>Mise</t>
  </si>
  <si>
    <t>Plein</t>
  </si>
  <si>
    <t>Post</t>
  </si>
  <si>
    <t>% Calcul Médiane (23° et  13°)</t>
  </si>
  <si>
    <t>23°=100%, 0°=95%, 13°=80%</t>
  </si>
  <si>
    <t>% Calcul Médiane : 44° &amp; 22° (N&amp;D)</t>
  </si>
  <si>
    <t>44°=100%, 0°= 95%, 22°=80%</t>
  </si>
  <si>
    <t>Finale sori par les Sommes des Rangs de chaque préf'</t>
  </si>
  <si>
    <r>
      <t>a</t>
    </r>
    <r>
      <rPr>
        <vertAlign val="superscript"/>
        <sz val="14"/>
        <color theme="7" tint="0.39997558519241921"/>
        <rFont val="Astronomic Signs St"/>
      </rPr>
      <t>L</t>
    </r>
  </si>
  <si>
    <r>
      <t>(SR +</t>
    </r>
    <r>
      <rPr>
        <vertAlign val="superscript"/>
        <sz val="6"/>
        <color indexed="10"/>
        <rFont val="Arial"/>
        <family val="2"/>
      </rPr>
      <t>4</t>
    </r>
    <r>
      <rPr>
        <sz val="6"/>
        <color indexed="10"/>
        <rFont val="Arial"/>
        <family val="2"/>
      </rPr>
      <t>) /4</t>
    </r>
  </si>
  <si>
    <t>Satori GEI</t>
  </si>
  <si>
    <t>Natal Gilles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</si>
</sst>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5">
    <numFmt numFmtId="164" formatCode="#,##0.00000"/>
    <numFmt numFmtId="165" formatCode="#,##0.0000000"/>
    <numFmt numFmtId="166" formatCode="?.#&quot; N&quot;"/>
    <numFmt numFmtId="167" formatCode="?.#&quot; S&quot;"/>
    <numFmt numFmtId="168" formatCode="00.000&quot; N&quot;"/>
    <numFmt numFmtId="169" formatCode="00.000&quot; S&quot;"/>
    <numFmt numFmtId="170" formatCode="0&quot; &quot;%"/>
    <numFmt numFmtId="171" formatCode="00.00&quot; &gt; C&quot;"/>
    <numFmt numFmtId="172" formatCode="00.00&quot;  &gt; P&quot;"/>
    <numFmt numFmtId="173" formatCode="00.00&quot; &lt; A&quot;"/>
    <numFmt numFmtId="174" formatCode="?.#&quot; &gt; NS&quot;"/>
    <numFmt numFmtId="175" formatCode="?.#&quot; &lt; P1&quot;"/>
    <numFmt numFmtId="176" formatCode="?.#&quot; &lt; NN&quot;"/>
    <numFmt numFmtId="177" formatCode="?.#&quot; &gt; P2&quot;"/>
    <numFmt numFmtId="178" formatCode="?.#&quot; &lt; NS&quot;"/>
    <numFmt numFmtId="179" formatCode="0.000"/>
    <numFmt numFmtId="180" formatCode="?.#&quot; &lt; P2&quot;"/>
    <numFmt numFmtId="181" formatCode="#,##0.000000000000"/>
    <numFmt numFmtId="182" formatCode="?.#&quot; &gt; AS&quot;"/>
    <numFmt numFmtId="183" formatCode="?.#&quot; &lt; AS&quot;"/>
    <numFmt numFmtId="184" formatCode="0.0000"/>
    <numFmt numFmtId="185" formatCode="00.000\ &quot;S&quot;"/>
    <numFmt numFmtId="186" formatCode="00.000\ &quot;N&quot;"/>
    <numFmt numFmtId="187" formatCode="00.0000000\ &quot;N&quot;"/>
    <numFmt numFmtId="188" formatCode="00.0000000\ &quot;S&quot;"/>
    <numFmt numFmtId="189" formatCode="00.000\ &quot;D&quot;"/>
    <numFmt numFmtId="190" formatCode="00.00\ &quot;&lt; M2&quot;"/>
    <numFmt numFmtId="191" formatCode="00.00\ &quot;&lt; A&quot;"/>
    <numFmt numFmtId="192" formatCode="00.00\ &quot;&gt; M2&quot;"/>
    <numFmt numFmtId="193" formatCode="00.00\ &quot;&gt; A&quot;"/>
    <numFmt numFmtId="194" formatCode="00.00\ &quot;&lt; NN&quot;"/>
    <numFmt numFmtId="195" formatCode="00.00\ &quot;&gt; P1&quot;"/>
    <numFmt numFmtId="196" formatCode="00.00\ &quot;&lt; P2&quot;"/>
    <numFmt numFmtId="197" formatCode="00.00\ &quot;&lt; P1&quot;"/>
    <numFmt numFmtId="198" formatCode="00.00\ &quot;&lt; NS&quot;"/>
    <numFmt numFmtId="199" formatCode="0.000\ &quot;R&quot;"/>
    <numFmt numFmtId="200" formatCode="00.00\ &quot;&gt; M1&quot;"/>
    <numFmt numFmtId="201" formatCode="00.00\ &quot;&gt; L&quot;"/>
    <numFmt numFmtId="202" formatCode="00.00\ &quot;&lt; M1&quot;"/>
    <numFmt numFmtId="203" formatCode="0.0"/>
    <numFmt numFmtId="204" formatCode="00.00\ &quot;&gt; P&quot;"/>
    <numFmt numFmtId="205" formatCode="00.00\ &quot;&gt; DS&quot;"/>
    <numFmt numFmtId="206" formatCode="00.00\ &quot;&lt; AS&quot;"/>
    <numFmt numFmtId="207" formatCode="00.00\ &quot;&gt; AS&quot;"/>
    <numFmt numFmtId="208" formatCode="00.00\ &quot;&lt; FC&quot;"/>
    <numFmt numFmtId="209" formatCode="00.00\ &quot;&gt; NS&quot;"/>
    <numFmt numFmtId="210" formatCode="00.00\ &quot;&lt; L&quot;"/>
    <numFmt numFmtId="211" formatCode="0.000000000"/>
    <numFmt numFmtId="212" formatCode="0.00000"/>
    <numFmt numFmtId="213" formatCode="00.00\ &quot;&lt; P&quot;"/>
    <numFmt numFmtId="214" formatCode="00.00\ &quot;&gt; P2&quot;"/>
    <numFmt numFmtId="215" formatCode="[$-F400]h:mm:ss\ AM/PM"/>
    <numFmt numFmtId="216" formatCode="00.00\ &quot;&gt; MC&quot;"/>
    <numFmt numFmtId="217" formatCode="00.00\ &quot;&lt; S&quot;"/>
    <numFmt numFmtId="218" formatCode="0.000000"/>
  </numFmts>
  <fonts count="756" x14ac:knownFonts="1">
    <font>
      <sz val="10"/>
      <color indexed="8"/>
      <name val="Arial"/>
    </font>
    <font>
      <sz val="8"/>
      <color indexed="8"/>
      <name val="Arial"/>
      <family val="2"/>
    </font>
    <font>
      <b/>
      <i/>
      <sz val="8"/>
      <color indexed="11"/>
      <name val="Arial"/>
      <family val="2"/>
    </font>
    <font>
      <sz val="8"/>
      <color indexed="11"/>
      <name val="Arial"/>
      <family val="2"/>
    </font>
    <font>
      <i/>
      <sz val="8"/>
      <color indexed="11"/>
      <name val="Arial"/>
      <family val="2"/>
    </font>
    <font>
      <b/>
      <sz val="8"/>
      <color indexed="11"/>
      <name val="Arial"/>
      <family val="2"/>
    </font>
    <font>
      <b/>
      <sz val="7"/>
      <color indexed="11"/>
      <name val="Arial"/>
      <family val="2"/>
    </font>
    <font>
      <sz val="18"/>
      <color indexed="13"/>
      <name val="Horoscope2000"/>
    </font>
    <font>
      <sz val="10"/>
      <color indexed="13"/>
      <name val="Arial"/>
      <family val="2"/>
    </font>
    <font>
      <sz val="18"/>
      <color indexed="14"/>
      <name val="Horoscope2000"/>
    </font>
    <font>
      <sz val="10"/>
      <color indexed="14"/>
      <name val="Arial"/>
      <family val="2"/>
    </font>
    <font>
      <sz val="18"/>
      <color indexed="15"/>
      <name val="Horoscope2000"/>
    </font>
    <font>
      <sz val="10"/>
      <color indexed="15"/>
      <name val="Arial"/>
      <family val="2"/>
    </font>
    <font>
      <sz val="14"/>
      <color indexed="16"/>
      <name val="Astronomic Signs St"/>
    </font>
    <font>
      <sz val="18"/>
      <color indexed="17"/>
      <name val="Horoscope2000"/>
    </font>
    <font>
      <i/>
      <sz val="10"/>
      <color indexed="17"/>
      <name val="Arial"/>
      <family val="2"/>
    </font>
    <font>
      <sz val="10"/>
      <color indexed="17"/>
      <name val="Arial"/>
      <family val="2"/>
    </font>
    <font>
      <sz val="18"/>
      <color indexed="18"/>
      <name val="Horoscope2000"/>
    </font>
    <font>
      <sz val="18"/>
      <color indexed="19"/>
      <name val="Horoscope2000"/>
    </font>
    <font>
      <sz val="18"/>
      <color indexed="20"/>
      <name val="Horoscope2000"/>
    </font>
    <font>
      <sz val="18"/>
      <color indexed="21"/>
      <name val="Horoscope2000"/>
    </font>
    <font>
      <sz val="18"/>
      <color indexed="22"/>
      <name val="Horoscope2000"/>
    </font>
    <font>
      <i/>
      <sz val="10"/>
      <color indexed="22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2"/>
      <color indexed="8"/>
      <name val="Arial"/>
      <family val="2"/>
    </font>
    <font>
      <b/>
      <sz val="7"/>
      <color indexed="13"/>
      <name val="Arial"/>
      <family val="2"/>
    </font>
    <font>
      <b/>
      <sz val="8"/>
      <color indexed="13"/>
      <name val="Arial"/>
      <family val="2"/>
    </font>
    <font>
      <sz val="18"/>
      <color indexed="23"/>
      <name val="Horoscope2000"/>
    </font>
    <font>
      <sz val="10"/>
      <color indexed="24"/>
      <name val="Arial"/>
      <family val="2"/>
    </font>
    <font>
      <b/>
      <sz val="7"/>
      <color indexed="25"/>
      <name val="Arial"/>
      <family val="2"/>
    </font>
    <font>
      <i/>
      <sz val="8"/>
      <color indexed="8"/>
      <name val="Arial"/>
      <family val="2"/>
    </font>
    <font>
      <sz val="10"/>
      <color indexed="26"/>
      <name val="Arial"/>
      <family val="2"/>
    </font>
    <font>
      <sz val="10"/>
      <color indexed="27"/>
      <name val="Arial"/>
      <family val="2"/>
    </font>
    <font>
      <sz val="8"/>
      <color indexed="27"/>
      <name val="Arial"/>
      <family val="2"/>
    </font>
    <font>
      <sz val="8"/>
      <color indexed="28"/>
      <name val="Arial"/>
      <family val="2"/>
    </font>
    <font>
      <sz val="11"/>
      <color indexed="28"/>
      <name val="Horoscope2000"/>
    </font>
    <font>
      <sz val="10"/>
      <color indexed="29"/>
      <name val="Arial"/>
      <family val="2"/>
    </font>
    <font>
      <b/>
      <sz val="10"/>
      <color indexed="32"/>
      <name val="Arial"/>
      <family val="2"/>
    </font>
    <font>
      <b/>
      <sz val="10"/>
      <color indexed="33"/>
      <name val="Arial"/>
      <family val="2"/>
    </font>
    <font>
      <b/>
      <sz val="14"/>
      <color indexed="10"/>
      <name val="Arial"/>
      <family val="2"/>
    </font>
    <font>
      <b/>
      <sz val="12"/>
      <color indexed="27"/>
      <name val="Arial"/>
      <family val="2"/>
    </font>
    <font>
      <sz val="28"/>
      <color indexed="11"/>
      <name val="Horoscope2000"/>
    </font>
    <font>
      <sz val="28"/>
      <color indexed="35"/>
      <name val="Horoscope2000"/>
    </font>
    <font>
      <sz val="28"/>
      <color indexed="36"/>
      <name val="Horoscope2000"/>
    </font>
    <font>
      <sz val="28"/>
      <color indexed="37"/>
      <name val="Horoscope2000"/>
    </font>
    <font>
      <vertAlign val="superscript"/>
      <sz val="18"/>
      <color indexed="37"/>
      <name val="Astronomic Signs St"/>
    </font>
    <font>
      <sz val="28"/>
      <color indexed="17"/>
      <name val="Horoscope2000"/>
    </font>
    <font>
      <sz val="28"/>
      <color indexed="38"/>
      <name val="Horoscope2000"/>
    </font>
    <font>
      <sz val="28"/>
      <color indexed="39"/>
      <name val="Horoscope2000"/>
    </font>
    <font>
      <sz val="28"/>
      <color indexed="40"/>
      <name val="Horoscope2000"/>
    </font>
    <font>
      <sz val="28"/>
      <color indexed="33"/>
      <name val="Horoscope2000"/>
    </font>
    <font>
      <sz val="28"/>
      <color indexed="24"/>
      <name val="Horoscope2000"/>
    </font>
    <font>
      <b/>
      <sz val="18"/>
      <color indexed="27"/>
      <name val="Arial"/>
      <family val="2"/>
    </font>
    <font>
      <sz val="14"/>
      <color indexed="11"/>
      <name val="Arial"/>
      <family val="2"/>
    </font>
    <font>
      <sz val="14"/>
      <color indexed="41"/>
      <name val="Arial"/>
      <family val="2"/>
    </font>
    <font>
      <sz val="14"/>
      <color indexed="42"/>
      <name val="Arial"/>
      <family val="2"/>
    </font>
    <font>
      <b/>
      <sz val="14"/>
      <color indexed="43"/>
      <name val="Arial"/>
      <family val="2"/>
    </font>
    <font>
      <sz val="14"/>
      <color indexed="44"/>
      <name val="Arial"/>
      <family val="2"/>
    </font>
    <font>
      <sz val="14"/>
      <color indexed="45"/>
      <name val="Arial"/>
      <family val="2"/>
    </font>
    <font>
      <sz val="14"/>
      <color indexed="46"/>
      <name val="Arial"/>
      <family val="2"/>
    </font>
    <font>
      <sz val="14"/>
      <color indexed="40"/>
      <name val="Arial"/>
      <family val="2"/>
    </font>
    <font>
      <sz val="14"/>
      <color indexed="47"/>
      <name val="Arial"/>
      <family val="2"/>
    </font>
    <font>
      <sz val="14"/>
      <color indexed="48"/>
      <name val="Arial"/>
      <family val="2"/>
    </font>
    <font>
      <sz val="14"/>
      <color indexed="27"/>
      <name val="Arial"/>
      <family val="2"/>
    </font>
    <font>
      <sz val="14"/>
      <color indexed="43"/>
      <name val="Arial"/>
      <family val="2"/>
    </font>
    <font>
      <sz val="9"/>
      <color indexed="8"/>
      <name val="Arial"/>
      <family val="2"/>
    </font>
    <font>
      <i/>
      <sz val="14"/>
      <color indexed="8"/>
      <name val="Arial"/>
      <family val="2"/>
    </font>
    <font>
      <i/>
      <sz val="14"/>
      <color indexed="35"/>
      <name val="Arial"/>
      <family val="2"/>
    </font>
    <font>
      <i/>
      <sz val="14"/>
      <color indexed="36"/>
      <name val="Arial"/>
      <family val="2"/>
    </font>
    <font>
      <i/>
      <sz val="14"/>
      <color indexed="37"/>
      <name val="Arial"/>
      <family val="2"/>
    </font>
    <font>
      <i/>
      <sz val="14"/>
      <color indexed="17"/>
      <name val="Arial"/>
      <family val="2"/>
    </font>
    <font>
      <i/>
      <sz val="14"/>
      <color indexed="38"/>
      <name val="Arial"/>
      <family val="2"/>
    </font>
    <font>
      <i/>
      <sz val="14"/>
      <color indexed="39"/>
      <name val="Arial"/>
      <family val="2"/>
    </font>
    <font>
      <i/>
      <sz val="14"/>
      <color indexed="40"/>
      <name val="Arial"/>
      <family val="2"/>
    </font>
    <font>
      <i/>
      <sz val="14"/>
      <color indexed="50"/>
      <name val="Arial"/>
      <family val="2"/>
    </font>
    <font>
      <i/>
      <sz val="14"/>
      <color indexed="24"/>
      <name val="Arial"/>
      <family val="2"/>
    </font>
    <font>
      <sz val="12"/>
      <color indexed="38"/>
      <name val="Arial"/>
      <family val="2"/>
    </font>
    <font>
      <sz val="14"/>
      <color indexed="8"/>
      <name val="Arial"/>
      <family val="2"/>
    </font>
    <font>
      <sz val="14"/>
      <color indexed="35"/>
      <name val="Arial"/>
      <family val="2"/>
    </font>
    <font>
      <sz val="14"/>
      <color indexed="36"/>
      <name val="Arial"/>
      <family val="2"/>
    </font>
    <font>
      <sz val="14"/>
      <color indexed="37"/>
      <name val="Arial"/>
      <family val="2"/>
    </font>
    <font>
      <sz val="14"/>
      <color indexed="17"/>
      <name val="Arial"/>
      <family val="2"/>
    </font>
    <font>
      <sz val="14"/>
      <color indexed="38"/>
      <name val="Arial"/>
      <family val="2"/>
    </font>
    <font>
      <sz val="14"/>
      <color indexed="39"/>
      <name val="Arial"/>
      <family val="2"/>
    </font>
    <font>
      <sz val="14"/>
      <color indexed="50"/>
      <name val="Arial"/>
      <family val="2"/>
    </font>
    <font>
      <sz val="18"/>
      <color indexed="29"/>
      <name val="Horoscope2000"/>
    </font>
    <font>
      <sz val="12"/>
      <color indexed="35"/>
      <name val="Arial"/>
      <family val="2"/>
    </font>
    <font>
      <sz val="12"/>
      <color indexed="36"/>
      <name val="Arial"/>
      <family val="2"/>
    </font>
    <font>
      <sz val="12"/>
      <color indexed="37"/>
      <name val="Arial"/>
      <family val="2"/>
    </font>
    <font>
      <sz val="12"/>
      <color indexed="17"/>
      <name val="Arial"/>
      <family val="2"/>
    </font>
    <font>
      <sz val="12"/>
      <color indexed="39"/>
      <name val="Arial"/>
      <family val="2"/>
    </font>
    <font>
      <sz val="12"/>
      <color indexed="40"/>
      <name val="Arial"/>
      <family val="2"/>
    </font>
    <font>
      <sz val="12"/>
      <color indexed="50"/>
      <name val="Arial"/>
      <family val="2"/>
    </font>
    <font>
      <sz val="12"/>
      <color indexed="24"/>
      <name val="Arial"/>
      <family val="2"/>
    </font>
    <font>
      <sz val="12"/>
      <color indexed="34"/>
      <name val="Arial"/>
      <family val="2"/>
    </font>
    <font>
      <sz val="14"/>
      <color indexed="51"/>
      <name val="Arial"/>
      <family val="2"/>
    </font>
    <font>
      <sz val="14"/>
      <color indexed="24"/>
      <name val="Arial"/>
      <family val="2"/>
    </font>
    <font>
      <sz val="18"/>
      <color indexed="35"/>
      <name val="Horoscope2000"/>
    </font>
    <font>
      <sz val="18"/>
      <color indexed="36"/>
      <name val="Horoscope2000"/>
    </font>
    <font>
      <sz val="18"/>
      <color indexed="52"/>
      <name val="Horoscope2000"/>
    </font>
    <font>
      <vertAlign val="superscript"/>
      <sz val="12"/>
      <color indexed="52"/>
      <name val="Astronomic Signs St"/>
    </font>
    <font>
      <sz val="18"/>
      <color indexed="37"/>
      <name val="Horoscope2000"/>
    </font>
    <font>
      <sz val="14"/>
      <color indexed="53"/>
      <name val="Arial"/>
      <family val="2"/>
    </font>
    <font>
      <sz val="14"/>
      <color indexed="54"/>
      <name val="Arial"/>
      <family val="2"/>
    </font>
    <font>
      <sz val="18"/>
      <color indexed="55"/>
      <name val="Horoscope2000"/>
    </font>
    <font>
      <sz val="18"/>
      <color indexed="32"/>
      <name val="Horoscope2000"/>
    </font>
    <font>
      <sz val="12"/>
      <color indexed="56"/>
      <name val="Arial"/>
      <family val="2"/>
    </font>
    <font>
      <sz val="18"/>
      <color indexed="50"/>
      <name val="Horoscope2000"/>
    </font>
    <font>
      <b/>
      <sz val="10"/>
      <color indexed="49"/>
      <name val="Arial"/>
      <family val="2"/>
    </font>
    <font>
      <sz val="10"/>
      <color indexed="11"/>
      <name val="Arial"/>
      <family val="2"/>
    </font>
    <font>
      <sz val="12"/>
      <color indexed="17"/>
      <name val="Zodiac"/>
    </font>
    <font>
      <sz val="12"/>
      <color indexed="58"/>
      <name val="Zodiac"/>
    </font>
    <font>
      <sz val="10"/>
      <color indexed="11"/>
      <name val="Astrodienst"/>
    </font>
    <font>
      <sz val="16"/>
      <color indexed="58"/>
      <name val="Horoscope2000"/>
    </font>
    <font>
      <i/>
      <sz val="10"/>
      <color indexed="11"/>
      <name val="Arial"/>
      <family val="2"/>
    </font>
    <font>
      <b/>
      <sz val="14"/>
      <color indexed="10"/>
      <name val="Trebuchet MS"/>
      <family val="2"/>
    </font>
    <font>
      <u/>
      <sz val="10"/>
      <color indexed="8"/>
      <name val="Arial"/>
      <family val="2"/>
    </font>
    <font>
      <sz val="12"/>
      <color indexed="10"/>
      <name val="Arial"/>
      <family val="2"/>
    </font>
    <font>
      <sz val="14"/>
      <color indexed="10"/>
      <name val="Arial"/>
      <family val="2"/>
    </font>
    <font>
      <sz val="9"/>
      <color indexed="56"/>
      <name val="Geneva"/>
      <family val="2"/>
    </font>
    <font>
      <sz val="18"/>
      <color indexed="34"/>
      <name val="Geneva"/>
      <family val="2"/>
    </font>
    <font>
      <sz val="18"/>
      <color indexed="8"/>
      <name val="Geneva"/>
      <family val="2"/>
    </font>
    <font>
      <sz val="18"/>
      <color indexed="56"/>
      <name val="Geneva"/>
      <family val="2"/>
    </font>
    <font>
      <sz val="18"/>
      <color indexed="23"/>
      <name val="Geneva"/>
      <family val="2"/>
    </font>
    <font>
      <sz val="18"/>
      <color indexed="17"/>
      <name val="Geneva"/>
      <family val="2"/>
    </font>
    <font>
      <sz val="18"/>
      <color indexed="60"/>
      <name val="Geneva"/>
      <family val="2"/>
    </font>
    <font>
      <sz val="9"/>
      <color indexed="8"/>
      <name val="Geneva"/>
      <family val="2"/>
    </font>
    <font>
      <b/>
      <sz val="10"/>
      <color indexed="10"/>
      <name val="Arial"/>
      <family val="2"/>
    </font>
    <font>
      <vertAlign val="superscript"/>
      <sz val="12"/>
      <color indexed="10"/>
      <name val="Arial"/>
      <family val="2"/>
    </font>
    <font>
      <b/>
      <sz val="10"/>
      <color indexed="11"/>
      <name val="Verdana"/>
      <family val="2"/>
    </font>
    <font>
      <b/>
      <sz val="12"/>
      <color indexed="10"/>
      <name val="Arial"/>
      <family val="2"/>
    </font>
    <font>
      <sz val="12"/>
      <color indexed="11"/>
      <name val="Geneva"/>
      <family val="2"/>
    </font>
    <font>
      <sz val="18"/>
      <color indexed="11"/>
      <name val="Horoscope2000"/>
    </font>
    <font>
      <b/>
      <sz val="12"/>
      <color indexed="27"/>
      <name val="Astrodienst Regular"/>
    </font>
    <font>
      <sz val="14"/>
      <color rgb="FFFF99CC"/>
      <name val="Astrodienst Regular"/>
    </font>
    <font>
      <sz val="12"/>
      <color indexed="23"/>
      <name val="Astronomic Signs St"/>
    </font>
    <font>
      <sz val="18"/>
      <color indexed="27"/>
      <name val="Horoscope2000"/>
    </font>
    <font>
      <sz val="18"/>
      <color indexed="58"/>
      <name val="Horoscope2000"/>
    </font>
    <font>
      <sz val="24"/>
      <color indexed="34"/>
      <name val="Astrodienst Regular"/>
    </font>
    <font>
      <sz val="18"/>
      <color rgb="FF0066CC"/>
      <name val="Astrodienst Regular"/>
    </font>
    <font>
      <sz val="18"/>
      <color rgb="FFED7D31"/>
      <name val="Horoscope2000"/>
    </font>
    <font>
      <sz val="12"/>
      <color rgb="FF0066CC"/>
      <name val="Astrodienst Regular"/>
    </font>
    <font>
      <sz val="18"/>
      <color rgb="FF0000FF"/>
      <name val="Astrodienst Regular"/>
    </font>
    <font>
      <sz val="18"/>
      <color indexed="60"/>
      <name val="Horoscope2000"/>
    </font>
    <font>
      <sz val="12"/>
      <color indexed="8"/>
      <name val="Geneva"/>
      <family val="2"/>
    </font>
    <font>
      <sz val="24"/>
      <color indexed="27"/>
      <name val="Horoscope2000"/>
    </font>
    <font>
      <sz val="24"/>
      <color indexed="17"/>
      <name val="Horoscope2000"/>
    </font>
    <font>
      <sz val="24"/>
      <color rgb="FF00CCFF"/>
      <name val="Horoscope2000"/>
    </font>
    <font>
      <sz val="18"/>
      <color rgb="FF941100"/>
      <name val="Horoscope2000"/>
    </font>
    <font>
      <sz val="10"/>
      <color rgb="FF941100"/>
      <name val="Arial"/>
      <family val="2"/>
    </font>
    <font>
      <i/>
      <sz val="10"/>
      <color rgb="FF333300"/>
      <name val="Arial"/>
      <family val="2"/>
    </font>
    <font>
      <i/>
      <sz val="12"/>
      <color rgb="FF333300"/>
      <name val="Arial"/>
      <family val="2"/>
    </font>
    <font>
      <sz val="10"/>
      <color rgb="FFFF99CC"/>
      <name val="Arial"/>
      <family val="2"/>
    </font>
    <font>
      <sz val="10"/>
      <color indexed="10"/>
      <name val="Arial"/>
      <family val="2"/>
    </font>
    <font>
      <sz val="10"/>
      <color rgb="FFED7D31"/>
      <name val="Arial"/>
      <family val="2"/>
    </font>
    <font>
      <i/>
      <sz val="10"/>
      <color rgb="FFE8C0FF"/>
      <name val="Arial"/>
      <family val="2"/>
    </font>
    <font>
      <i/>
      <sz val="12"/>
      <color rgb="FFE8C0FF"/>
      <name val="Arial"/>
      <family val="2"/>
    </font>
    <font>
      <sz val="12"/>
      <color rgb="FFE8C0FF"/>
      <name val="Arial"/>
      <family val="2"/>
    </font>
    <font>
      <sz val="10"/>
      <color indexed="60"/>
      <name val="Arial"/>
      <family val="2"/>
    </font>
    <font>
      <sz val="10"/>
      <color indexed="32"/>
      <name val="Arial"/>
      <family val="2"/>
    </font>
    <font>
      <sz val="10"/>
      <color indexed="10"/>
      <name val="Astrodienst Regular"/>
    </font>
    <font>
      <sz val="18"/>
      <color rgb="FF9437FF"/>
      <name val="Horoscope2000"/>
    </font>
    <font>
      <sz val="10"/>
      <color rgb="FF9437FF"/>
      <name val="Arial"/>
      <family val="2"/>
    </font>
    <font>
      <sz val="12"/>
      <color indexed="11"/>
      <name val="Arial"/>
      <family val="2"/>
    </font>
    <font>
      <sz val="9"/>
      <color indexed="34"/>
      <name val="Arial"/>
      <family val="2"/>
    </font>
    <font>
      <sz val="12"/>
      <color rgb="FF99CCFF"/>
      <name val="Arial"/>
      <family val="2"/>
    </font>
    <font>
      <sz val="18"/>
      <color indexed="11"/>
      <name val="Astrodienst Regular"/>
    </font>
    <font>
      <sz val="16"/>
      <color indexed="23"/>
      <name val="Horoscope2000"/>
    </font>
    <font>
      <sz val="10"/>
      <color rgb="FFBF9000"/>
      <name val="Arial"/>
      <family val="2"/>
    </font>
    <font>
      <sz val="12"/>
      <color indexed="29"/>
      <name val="Arial"/>
      <family val="2"/>
    </font>
    <font>
      <sz val="18"/>
      <color rgb="FFFF8AD8"/>
      <name val="Horoscope2000"/>
    </font>
    <font>
      <sz val="10"/>
      <color rgb="FFFF8AD8"/>
      <name val="Arial"/>
      <family val="2"/>
    </font>
    <font>
      <sz val="10"/>
      <color indexed="38"/>
      <name val="Arial"/>
      <family val="2"/>
    </font>
    <font>
      <sz val="18"/>
      <color indexed="38"/>
      <name val="Astrodienst Regular"/>
    </font>
    <font>
      <sz val="9"/>
      <color indexed="11"/>
      <name val="Arial"/>
      <family val="2"/>
    </font>
    <font>
      <sz val="10"/>
      <color indexed="35"/>
      <name val="Arial"/>
      <family val="2"/>
    </font>
    <font>
      <sz val="18"/>
      <color indexed="34"/>
      <name val="Horoscope2000"/>
    </font>
    <font>
      <b/>
      <sz val="12"/>
      <color rgb="FF0066CC"/>
      <name val="Astrodienst Regular"/>
    </font>
    <font>
      <b/>
      <sz val="12"/>
      <color indexed="40"/>
      <name val="Astrodienst Regular"/>
    </font>
    <font>
      <b/>
      <sz val="12"/>
      <color rgb="FF00CCFF"/>
      <name val="Astrodienst Regular"/>
    </font>
    <font>
      <sz val="18"/>
      <color indexed="56"/>
      <name val="Astrodienst Regular"/>
    </font>
    <font>
      <sz val="18"/>
      <color indexed="33"/>
      <name val="Horoscope2000"/>
    </font>
    <font>
      <sz val="18"/>
      <color indexed="10"/>
      <name val="Astrodienst Regular"/>
    </font>
    <font>
      <sz val="9"/>
      <color indexed="38"/>
      <name val="Arial"/>
      <family val="2"/>
    </font>
    <font>
      <sz val="12"/>
      <color indexed="29"/>
      <name val="Geneva"/>
      <family val="2"/>
    </font>
    <font>
      <i/>
      <sz val="10"/>
      <color indexed="8"/>
      <name val="Arial"/>
      <family val="2"/>
    </font>
    <font>
      <i/>
      <sz val="12"/>
      <color indexed="8"/>
      <name val="Arial"/>
      <family val="2"/>
    </font>
    <font>
      <sz val="10"/>
      <color rgb="FF99CCFF"/>
      <name val="Arial"/>
      <family val="2"/>
    </font>
    <font>
      <sz val="18"/>
      <color rgb="FF333333"/>
      <name val="Astrodienst Regular"/>
    </font>
    <font>
      <sz val="11"/>
      <color indexed="23"/>
      <name val="Astronomic Signs St"/>
    </font>
    <font>
      <sz val="16"/>
      <color indexed="17"/>
      <name val="Horoscope2000"/>
    </font>
    <font>
      <sz val="18"/>
      <color indexed="51"/>
      <name val="Astrodienst Regular"/>
    </font>
    <font>
      <i/>
      <sz val="10"/>
      <color indexed="34"/>
      <name val="Arial"/>
      <family val="2"/>
    </font>
    <font>
      <i/>
      <sz val="10"/>
      <color indexed="32"/>
      <name val="Arial"/>
      <family val="2"/>
    </font>
    <font>
      <i/>
      <sz val="9"/>
      <color indexed="11"/>
      <name val="Arial"/>
      <family val="2"/>
    </font>
    <font>
      <i/>
      <sz val="12"/>
      <color indexed="11"/>
      <name val="Arial"/>
      <family val="2"/>
    </font>
    <font>
      <i/>
      <sz val="9"/>
      <color indexed="38"/>
      <name val="Arial"/>
      <family val="2"/>
    </font>
    <font>
      <i/>
      <sz val="12"/>
      <color indexed="38"/>
      <name val="Arial"/>
      <family val="2"/>
    </font>
    <font>
      <sz val="16"/>
      <color indexed="35"/>
      <name val="Horoscope2000"/>
    </font>
    <font>
      <i/>
      <sz val="10"/>
      <color rgb="FFFF99CC"/>
      <name val="Arial"/>
      <family val="2"/>
    </font>
    <font>
      <sz val="18"/>
      <color rgb="FFFF8080"/>
      <name val="Astrodienst Regular"/>
    </font>
    <font>
      <sz val="12"/>
      <color rgb="FF00CCFF"/>
      <name val="Astrodienst Regular"/>
    </font>
    <font>
      <sz val="18"/>
      <color indexed="54"/>
      <name val="Astrodienst Regular"/>
    </font>
    <font>
      <sz val="9"/>
      <color indexed="27"/>
      <name val="Arial"/>
      <family val="2"/>
    </font>
    <font>
      <sz val="18"/>
      <color indexed="38"/>
      <name val="Horoscope2000"/>
    </font>
    <font>
      <sz val="18"/>
      <color indexed="56"/>
      <name val="Horoscope2000"/>
    </font>
    <font>
      <i/>
      <sz val="12"/>
      <color indexed="53"/>
      <name val="Arial"/>
      <family val="2"/>
    </font>
    <font>
      <i/>
      <sz val="10"/>
      <color indexed="53"/>
      <name val="Arial"/>
      <family val="2"/>
    </font>
    <font>
      <sz val="12"/>
      <color indexed="53"/>
      <name val="Arial"/>
      <family val="2"/>
    </font>
    <font>
      <sz val="10"/>
      <color indexed="53"/>
      <name val="Arial"/>
      <family val="2"/>
    </font>
    <font>
      <b/>
      <sz val="10"/>
      <color indexed="11"/>
      <name val="Arial"/>
      <family val="2"/>
    </font>
    <font>
      <b/>
      <i/>
      <sz val="10"/>
      <color indexed="11"/>
      <name val="Arial"/>
      <family val="2"/>
    </font>
    <font>
      <b/>
      <i/>
      <sz val="10"/>
      <color indexed="40"/>
      <name val="Arial"/>
      <family val="2"/>
    </font>
    <font>
      <sz val="18"/>
      <color indexed="51"/>
      <name val="Horoscope2000"/>
    </font>
    <font>
      <sz val="18"/>
      <color rgb="FFFF8080"/>
      <name val="Horoscope2000"/>
    </font>
    <font>
      <sz val="14"/>
      <color indexed="23"/>
      <name val="Astronomic Signs St"/>
    </font>
    <font>
      <sz val="18"/>
      <color rgb="FF0066CC"/>
      <name val="Horoscope2000"/>
    </font>
    <font>
      <sz val="18"/>
      <color indexed="54"/>
      <name val="Horoscope2000"/>
    </font>
    <font>
      <sz val="18"/>
      <color indexed="40"/>
      <name val="Horoscope2000"/>
    </font>
    <font>
      <sz val="18"/>
      <color rgb="FF993366"/>
      <name val="Horoscope2000"/>
    </font>
    <font>
      <sz val="18"/>
      <color indexed="24"/>
      <name val="Horoscope2000"/>
    </font>
    <font>
      <sz val="9"/>
      <color indexed="10"/>
      <name val="Arial"/>
      <family val="2"/>
    </font>
    <font>
      <b/>
      <i/>
      <sz val="10"/>
      <color indexed="10"/>
      <name val="Arial"/>
      <family val="2"/>
    </font>
    <font>
      <b/>
      <sz val="8"/>
      <color indexed="10"/>
      <name val="Arial"/>
      <family val="2"/>
    </font>
    <font>
      <sz val="12"/>
      <color indexed="27"/>
      <name val="Zodiac"/>
    </font>
    <font>
      <i/>
      <sz val="8"/>
      <color indexed="10"/>
      <name val="Arial"/>
      <family val="2"/>
    </font>
    <font>
      <i/>
      <sz val="10"/>
      <color indexed="10"/>
      <name val="Arial"/>
      <family val="2"/>
    </font>
    <font>
      <b/>
      <vertAlign val="superscript"/>
      <sz val="10"/>
      <color indexed="10"/>
      <name val="Arial"/>
      <family val="2"/>
    </font>
    <font>
      <sz val="10"/>
      <color indexed="17"/>
      <name val="Verdana"/>
      <family val="2"/>
    </font>
    <font>
      <i/>
      <sz val="10"/>
      <color indexed="17"/>
      <name val="Verdana"/>
      <family val="2"/>
    </font>
    <font>
      <sz val="10"/>
      <color rgb="FFED7D31"/>
      <name val="Verdana"/>
      <family val="2"/>
    </font>
    <font>
      <i/>
      <sz val="10"/>
      <color rgb="FFED7D31"/>
      <name val="Verdana"/>
      <family val="2"/>
    </font>
    <font>
      <i/>
      <sz val="10"/>
      <color rgb="FF941100"/>
      <name val="Arial"/>
      <family val="2"/>
    </font>
    <font>
      <i/>
      <sz val="12"/>
      <color indexed="35"/>
      <name val="Arial"/>
      <family val="2"/>
    </font>
    <font>
      <sz val="10"/>
      <color indexed="29"/>
      <name val="Verdana"/>
      <family val="2"/>
    </font>
    <font>
      <b/>
      <i/>
      <sz val="10"/>
      <color indexed="29"/>
      <name val="Verdana"/>
      <family val="2"/>
    </font>
    <font>
      <i/>
      <sz val="9"/>
      <color indexed="34"/>
      <name val="Arial"/>
      <family val="2"/>
    </font>
    <font>
      <i/>
      <sz val="10"/>
      <color indexed="29"/>
      <name val="Verdana"/>
      <family val="2"/>
    </font>
    <font>
      <sz val="8"/>
      <color indexed="29"/>
      <name val="Arial"/>
      <family val="2"/>
    </font>
    <font>
      <sz val="8"/>
      <color rgb="FF941100"/>
      <name val="Arial"/>
      <family val="2"/>
    </font>
    <font>
      <i/>
      <sz val="10"/>
      <color indexed="40"/>
      <name val="Arial"/>
      <family val="2"/>
    </font>
    <font>
      <sz val="8"/>
      <color indexed="40"/>
      <name val="Arial"/>
      <family val="2"/>
    </font>
    <font>
      <b/>
      <i/>
      <sz val="12"/>
      <color indexed="32"/>
      <name val="Arial"/>
      <family val="2"/>
    </font>
    <font>
      <b/>
      <i/>
      <sz val="8"/>
      <color indexed="32"/>
      <name val="Arial"/>
      <family val="2"/>
    </font>
    <font>
      <sz val="10"/>
      <color indexed="34"/>
      <name val="Arial"/>
      <family val="2"/>
    </font>
    <font>
      <sz val="10"/>
      <color indexed="34"/>
      <name val="Verdana"/>
      <family val="2"/>
    </font>
    <font>
      <i/>
      <sz val="10"/>
      <color indexed="34"/>
      <name val="Verdana"/>
      <family val="2"/>
    </font>
    <font>
      <sz val="10"/>
      <color rgb="FF9437FF"/>
      <name val="Verdana"/>
      <family val="2"/>
    </font>
    <font>
      <i/>
      <sz val="10"/>
      <color rgb="FF9437FF"/>
      <name val="Verdana"/>
      <family val="2"/>
    </font>
    <font>
      <i/>
      <sz val="10"/>
      <color indexed="60"/>
      <name val="Arial"/>
      <family val="2"/>
    </font>
    <font>
      <sz val="10"/>
      <color rgb="FFBF9000"/>
      <name val="Verdana"/>
      <family val="2"/>
    </font>
    <font>
      <i/>
      <sz val="10"/>
      <color rgb="FFBF9000"/>
      <name val="Verdana"/>
      <family val="2"/>
    </font>
    <font>
      <sz val="12"/>
      <color indexed="51"/>
      <name val="Arial"/>
      <family val="2"/>
    </font>
    <font>
      <i/>
      <sz val="12"/>
      <color indexed="24"/>
      <name val="Arial"/>
      <family val="2"/>
    </font>
    <font>
      <b/>
      <i/>
      <sz val="10"/>
      <color indexed="32"/>
      <name val="Verdana"/>
      <family val="2"/>
    </font>
    <font>
      <b/>
      <i/>
      <sz val="10"/>
      <color rgb="FFED7D31"/>
      <name val="Verdana"/>
      <family val="2"/>
    </font>
    <font>
      <i/>
      <sz val="8"/>
      <color indexed="34"/>
      <name val="Arial"/>
      <family val="2"/>
    </font>
    <font>
      <i/>
      <sz val="10"/>
      <color indexed="32"/>
      <name val="Verdana"/>
      <family val="2"/>
    </font>
    <font>
      <sz val="8"/>
      <color indexed="32"/>
      <name val="Arial"/>
      <family val="2"/>
    </font>
    <font>
      <i/>
      <sz val="10"/>
      <color indexed="36"/>
      <name val="Arial"/>
      <family val="2"/>
    </font>
    <font>
      <sz val="8"/>
      <color indexed="36"/>
      <name val="Arial"/>
      <family val="2"/>
    </font>
    <font>
      <i/>
      <sz val="10"/>
      <color indexed="24"/>
      <name val="Arial"/>
      <family val="2"/>
    </font>
    <font>
      <sz val="8"/>
      <color indexed="24"/>
      <name val="Arial"/>
      <family val="2"/>
    </font>
    <font>
      <b/>
      <i/>
      <sz val="12"/>
      <color rgb="FF2F5597"/>
      <name val="Arial"/>
      <family val="2"/>
    </font>
    <font>
      <sz val="18"/>
      <color rgb="FF2F5597"/>
      <name val="Horoscope2000"/>
    </font>
    <font>
      <b/>
      <i/>
      <sz val="8"/>
      <color rgb="FF2F5597"/>
      <name val="Arial"/>
      <family val="2"/>
    </font>
    <font>
      <sz val="10"/>
      <color rgb="FF941100"/>
      <name val="Verdana"/>
      <family val="2"/>
    </font>
    <font>
      <i/>
      <sz val="10"/>
      <color rgb="FF941100"/>
      <name val="Verdana"/>
      <family val="2"/>
    </font>
    <font>
      <i/>
      <sz val="10"/>
      <color rgb="FFED7D31"/>
      <name val="Arial"/>
      <family val="2"/>
    </font>
    <font>
      <sz val="12"/>
      <color rgb="FFFF8080"/>
      <name val="Arial"/>
      <family val="2"/>
    </font>
    <font>
      <sz val="10"/>
      <color rgb="FFAFABAB"/>
      <name val="Arial"/>
      <family val="2"/>
    </font>
    <font>
      <i/>
      <sz val="12"/>
      <color indexed="34"/>
      <name val="Arial"/>
      <family val="2"/>
    </font>
    <font>
      <b/>
      <i/>
      <sz val="10"/>
      <color indexed="29"/>
      <name val="Arial"/>
      <family val="2"/>
    </font>
    <font>
      <b/>
      <i/>
      <sz val="10"/>
      <color rgb="FF941100"/>
      <name val="Arial"/>
      <family val="2"/>
    </font>
    <font>
      <sz val="8"/>
      <color indexed="17"/>
      <name val="Arial"/>
      <family val="2"/>
    </font>
    <font>
      <i/>
      <sz val="10"/>
      <color rgb="FFBF9000"/>
      <name val="Arial"/>
      <family val="2"/>
    </font>
    <font>
      <sz val="8"/>
      <color rgb="FFBF9000"/>
      <name val="Arial"/>
      <family val="2"/>
    </font>
    <font>
      <b/>
      <i/>
      <sz val="12"/>
      <color indexed="36"/>
      <name val="Arial"/>
      <family val="2"/>
    </font>
    <font>
      <b/>
      <i/>
      <sz val="8"/>
      <color indexed="36"/>
      <name val="Arial"/>
      <family val="2"/>
    </font>
    <font>
      <i/>
      <sz val="10"/>
      <color indexed="29"/>
      <name val="Arial"/>
      <family val="2"/>
    </font>
    <font>
      <sz val="12"/>
      <color rgb="FFFF99CC"/>
      <name val="Arial"/>
      <family val="2"/>
    </font>
    <font>
      <i/>
      <sz val="12"/>
      <color rgb="FFED7D31"/>
      <name val="Arial"/>
      <family val="2"/>
    </font>
    <font>
      <sz val="8"/>
      <color rgb="FFED7D31"/>
      <name val="Arial"/>
      <family val="2"/>
    </font>
    <font>
      <i/>
      <sz val="10"/>
      <color indexed="35"/>
      <name val="Arial"/>
      <family val="2"/>
    </font>
    <font>
      <sz val="8"/>
      <color indexed="35"/>
      <name val="Arial"/>
      <family val="2"/>
    </font>
    <font>
      <b/>
      <i/>
      <sz val="12"/>
      <color indexed="55"/>
      <name val="Arial"/>
      <family val="2"/>
    </font>
    <font>
      <b/>
      <i/>
      <sz val="8"/>
      <color indexed="55"/>
      <name val="Arial"/>
      <family val="2"/>
    </font>
    <font>
      <i/>
      <sz val="10"/>
      <color rgb="FF9437FF"/>
      <name val="Arial"/>
      <family val="2"/>
    </font>
    <font>
      <i/>
      <sz val="12"/>
      <color rgb="FF941100"/>
      <name val="Arial"/>
      <family val="2"/>
    </font>
    <font>
      <b/>
      <i/>
      <sz val="10"/>
      <color rgb="FFBF9000"/>
      <name val="Verdana"/>
      <family val="2"/>
    </font>
    <font>
      <sz val="8"/>
      <color indexed="34"/>
      <name val="Arial"/>
      <family val="2"/>
    </font>
    <font>
      <b/>
      <i/>
      <sz val="12"/>
      <color rgb="FFED7D31"/>
      <name val="Arial"/>
      <family val="2"/>
    </font>
    <font>
      <b/>
      <i/>
      <sz val="8"/>
      <color rgb="FFED7D31"/>
      <name val="Arial"/>
      <family val="2"/>
    </font>
    <font>
      <sz val="10"/>
      <color indexed="40"/>
      <name val="Arial"/>
      <family val="2"/>
    </font>
    <font>
      <sz val="10"/>
      <color indexed="40"/>
      <name val="Verdana"/>
      <family val="2"/>
    </font>
    <font>
      <i/>
      <sz val="10"/>
      <color indexed="40"/>
      <name val="Verdana"/>
      <family val="2"/>
    </font>
    <font>
      <i/>
      <sz val="12"/>
      <color rgb="FF9437FF"/>
      <name val="Arial"/>
      <family val="2"/>
    </font>
    <font>
      <b/>
      <i/>
      <sz val="10"/>
      <color indexed="50"/>
      <name val="Verdana"/>
      <family val="2"/>
    </font>
    <font>
      <b/>
      <i/>
      <sz val="10"/>
      <color indexed="60"/>
      <name val="Verdana"/>
      <family val="2"/>
    </font>
    <font>
      <sz val="10"/>
      <color indexed="60"/>
      <name val="Verdana"/>
      <family val="2"/>
    </font>
    <font>
      <i/>
      <sz val="10"/>
      <color indexed="50"/>
      <name val="Verdana"/>
      <family val="2"/>
    </font>
    <font>
      <sz val="8"/>
      <color indexed="50"/>
      <name val="Arial"/>
      <family val="2"/>
    </font>
    <font>
      <b/>
      <i/>
      <sz val="12"/>
      <color rgb="FFAFABAB"/>
      <name val="Arial"/>
      <family val="2"/>
    </font>
    <font>
      <sz val="18"/>
      <color rgb="FFAFABAB"/>
      <name val="Horoscope2000"/>
    </font>
    <font>
      <b/>
      <i/>
      <sz val="8"/>
      <color rgb="FFAFABAB"/>
      <name val="Arial"/>
      <family val="2"/>
    </font>
    <font>
      <sz val="10"/>
      <color indexed="24"/>
      <name val="Verdana"/>
      <family val="2"/>
    </font>
    <font>
      <i/>
      <sz val="10"/>
      <color indexed="24"/>
      <name val="Verdana"/>
      <family val="2"/>
    </font>
    <font>
      <sz val="12"/>
      <color indexed="54"/>
      <name val="Arial"/>
      <family val="2"/>
    </font>
    <font>
      <i/>
      <sz val="12"/>
      <color indexed="40"/>
      <name val="Arial"/>
      <family val="2"/>
    </font>
    <font>
      <b/>
      <i/>
      <sz val="10"/>
      <color indexed="36"/>
      <name val="Verdana"/>
      <family val="2"/>
    </font>
    <font>
      <i/>
      <sz val="10"/>
      <color indexed="36"/>
      <name val="Verdana"/>
      <family val="2"/>
    </font>
    <font>
      <b/>
      <i/>
      <sz val="12"/>
      <color indexed="17"/>
      <name val="Arial"/>
      <family val="2"/>
    </font>
    <font>
      <b/>
      <i/>
      <sz val="8"/>
      <color indexed="17"/>
      <name val="Arial"/>
      <family val="2"/>
    </font>
    <font>
      <sz val="10"/>
      <color rgb="FFFF8AD8"/>
      <name val="Verdana"/>
      <family val="2"/>
    </font>
    <font>
      <i/>
      <sz val="10"/>
      <color rgb="FFFF8AD8"/>
      <name val="Verdana"/>
      <family val="2"/>
    </font>
    <font>
      <i/>
      <sz val="12"/>
      <color rgb="FFBF9000"/>
      <name val="Arial"/>
      <family val="2"/>
    </font>
    <font>
      <sz val="10"/>
      <color indexed="32"/>
      <name val="Verdana"/>
      <family val="2"/>
    </font>
    <font>
      <i/>
      <sz val="10"/>
      <color indexed="60"/>
      <name val="Verdana"/>
      <family val="2"/>
    </font>
    <font>
      <sz val="8"/>
      <color indexed="60"/>
      <name val="Arial"/>
      <family val="2"/>
    </font>
    <font>
      <i/>
      <sz val="10"/>
      <color indexed="33"/>
      <name val="Arial"/>
      <family val="2"/>
    </font>
    <font>
      <sz val="8"/>
      <color indexed="33"/>
      <name val="Arial"/>
      <family val="2"/>
    </font>
    <font>
      <b/>
      <i/>
      <sz val="12"/>
      <color rgb="FFBF9000"/>
      <name val="Arial"/>
      <family val="2"/>
    </font>
    <font>
      <b/>
      <i/>
      <sz val="8"/>
      <color rgb="FFBF9000"/>
      <name val="Arial"/>
      <family val="2"/>
    </font>
    <font>
      <sz val="10"/>
      <color indexed="35"/>
      <name val="Verdana"/>
      <family val="2"/>
    </font>
    <font>
      <i/>
      <sz val="10"/>
      <color indexed="35"/>
      <name val="Verdana"/>
      <family val="2"/>
    </font>
    <font>
      <i/>
      <sz val="10"/>
      <color rgb="FFFF8AD8"/>
      <name val="Arial"/>
      <family val="2"/>
    </font>
    <font>
      <sz val="10"/>
      <color rgb="FF333399"/>
      <name val="Verdana"/>
      <family val="2"/>
    </font>
    <font>
      <i/>
      <sz val="10"/>
      <color rgb="FF333399"/>
      <name val="Verdana"/>
      <family val="2"/>
    </font>
    <font>
      <i/>
      <sz val="12"/>
      <color rgb="FFFF8AD8"/>
      <name val="Arial"/>
      <family val="2"/>
    </font>
    <font>
      <b/>
      <i/>
      <sz val="10"/>
      <color indexed="35"/>
      <name val="Verdana"/>
      <family val="2"/>
    </font>
    <font>
      <b/>
      <i/>
      <sz val="12"/>
      <color indexed="35"/>
      <name val="Arial"/>
      <family val="2"/>
    </font>
    <font>
      <b/>
      <i/>
      <sz val="8"/>
      <color indexed="35"/>
      <name val="Arial"/>
      <family val="2"/>
    </font>
    <font>
      <i/>
      <sz val="12"/>
      <color indexed="17"/>
      <name val="Arial"/>
      <family val="2"/>
    </font>
    <font>
      <b/>
      <i/>
      <sz val="12"/>
      <color indexed="33"/>
      <name val="Arial"/>
      <family val="2"/>
    </font>
    <font>
      <b/>
      <i/>
      <sz val="8"/>
      <color indexed="3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i/>
      <sz val="10"/>
      <color rgb="FF767171"/>
      <name val="Arial"/>
      <family val="2"/>
    </font>
    <font>
      <b/>
      <sz val="10"/>
      <color indexed="27"/>
      <name val="Arial"/>
      <family val="2"/>
    </font>
    <font>
      <b/>
      <i/>
      <sz val="10"/>
      <color indexed="34"/>
      <name val="Arial"/>
      <family val="2"/>
    </font>
    <font>
      <b/>
      <i/>
      <sz val="10"/>
      <color rgb="FFBF9000"/>
      <name val="Arial"/>
      <family val="2"/>
    </font>
    <font>
      <b/>
      <i/>
      <sz val="10"/>
      <color indexed="24"/>
      <name val="Arial"/>
      <family val="2"/>
    </font>
    <font>
      <b/>
      <i/>
      <sz val="12"/>
      <color rgb="FF941100"/>
      <name val="Arial"/>
      <family val="2"/>
    </font>
    <font>
      <b/>
      <i/>
      <sz val="10"/>
      <color indexed="33"/>
      <name val="Arial"/>
      <family val="2"/>
    </font>
    <font>
      <sz val="10"/>
      <color indexed="36"/>
      <name val="Arial"/>
      <family val="2"/>
    </font>
    <font>
      <b/>
      <i/>
      <sz val="10"/>
      <color indexed="36"/>
      <name val="Arial"/>
      <family val="2"/>
    </font>
    <font>
      <sz val="10"/>
      <color indexed="33"/>
      <name val="Arial"/>
      <family val="2"/>
    </font>
    <font>
      <b/>
      <i/>
      <sz val="10"/>
      <color rgb="FFED7D31"/>
      <name val="Arial"/>
      <family val="2"/>
    </font>
    <font>
      <b/>
      <i/>
      <sz val="12"/>
      <color indexed="60"/>
      <name val="Arial"/>
      <family val="2"/>
    </font>
    <font>
      <sz val="10"/>
      <color rgb="FF333399"/>
      <name val="Arial"/>
      <family val="2"/>
    </font>
    <font>
      <i/>
      <sz val="10"/>
      <color rgb="FF333399"/>
      <name val="Arial"/>
      <family val="2"/>
    </font>
    <font>
      <b/>
      <i/>
      <sz val="10"/>
      <color indexed="17"/>
      <name val="Arial"/>
      <family val="2"/>
    </font>
    <font>
      <i/>
      <sz val="9"/>
      <color indexed="35"/>
      <name val="Verdana"/>
      <family val="2"/>
    </font>
    <font>
      <b/>
      <i/>
      <sz val="10"/>
      <color indexed="35"/>
      <name val="Arial"/>
      <family val="2"/>
    </font>
    <font>
      <sz val="18"/>
      <color indexed="61"/>
      <name val="Horoscope2000"/>
    </font>
    <font>
      <sz val="10"/>
      <color indexed="61"/>
      <name val="Arial"/>
      <family val="2"/>
    </font>
    <font>
      <i/>
      <sz val="10"/>
      <color indexed="61"/>
      <name val="Arial"/>
      <family val="2"/>
    </font>
    <font>
      <b/>
      <i/>
      <sz val="8"/>
      <color indexed="10"/>
      <name val="Arial"/>
      <family val="2"/>
    </font>
    <font>
      <i/>
      <sz val="10"/>
      <color indexed="55"/>
      <name val="Arial"/>
      <family val="2"/>
    </font>
    <font>
      <sz val="18"/>
      <color indexed="63"/>
      <name val="Horoscope2000"/>
    </font>
    <font>
      <b/>
      <i/>
      <sz val="12"/>
      <color indexed="29"/>
      <name val="Arial"/>
      <family val="2"/>
    </font>
    <font>
      <b/>
      <sz val="10"/>
      <color indexed="35"/>
      <name val="Arial"/>
      <family val="2"/>
    </font>
    <font>
      <sz val="10"/>
      <color indexed="51"/>
      <name val="Arial"/>
      <family val="2"/>
    </font>
    <font>
      <i/>
      <sz val="12"/>
      <color rgb="FFFF8080"/>
      <name val="Arial"/>
      <family val="2"/>
    </font>
    <font>
      <b/>
      <sz val="10"/>
      <color indexed="36"/>
      <name val="Arial"/>
      <family val="2"/>
    </font>
    <font>
      <b/>
      <sz val="12"/>
      <color indexed="40"/>
      <name val="Arial"/>
      <family val="2"/>
    </font>
    <font>
      <b/>
      <sz val="10"/>
      <color indexed="40"/>
      <name val="Arial"/>
      <family val="2"/>
    </font>
    <font>
      <sz val="10"/>
      <color rgb="FFFF8080"/>
      <name val="Arial"/>
      <family val="2"/>
    </font>
    <font>
      <i/>
      <sz val="12"/>
      <color indexed="56"/>
      <name val="Arial"/>
      <family val="2"/>
    </font>
    <font>
      <sz val="18"/>
      <color indexed="34"/>
      <name val="Astrodienst"/>
    </font>
    <font>
      <b/>
      <sz val="12"/>
      <color indexed="17"/>
      <name val="Arial"/>
      <family val="2"/>
    </font>
    <font>
      <b/>
      <sz val="10"/>
      <color indexed="17"/>
      <name val="Arial"/>
      <family val="2"/>
    </font>
    <font>
      <i/>
      <sz val="12"/>
      <color rgb="FFFF99CC"/>
      <name val="Arial"/>
      <family val="2"/>
    </font>
    <font>
      <sz val="18"/>
      <color indexed="40"/>
      <name val="Astrodienst"/>
    </font>
    <font>
      <b/>
      <sz val="14"/>
      <color indexed="40"/>
      <name val="Arial"/>
      <family val="2"/>
    </font>
    <font>
      <b/>
      <sz val="12"/>
      <color indexed="36"/>
      <name val="Arial"/>
      <family val="2"/>
    </font>
    <font>
      <b/>
      <i/>
      <sz val="10"/>
      <color rgb="FF9437FF"/>
      <name val="Arial"/>
      <family val="2"/>
    </font>
    <font>
      <b/>
      <i/>
      <sz val="12"/>
      <color rgb="FF9437FF"/>
      <name val="Arial"/>
      <family val="2"/>
    </font>
    <font>
      <i/>
      <sz val="12"/>
      <color indexed="51"/>
      <name val="Arial"/>
      <family val="2"/>
    </font>
    <font>
      <sz val="18"/>
      <color indexed="34"/>
      <name val="Astrodienst Regular"/>
    </font>
    <font>
      <vertAlign val="superscript"/>
      <sz val="14"/>
      <color indexed="23"/>
      <name val="Astronomic Signs St"/>
    </font>
    <font>
      <b/>
      <sz val="12"/>
      <color rgb="FF941100"/>
      <name val="Arial"/>
      <family val="2"/>
    </font>
    <font>
      <b/>
      <sz val="10"/>
      <color rgb="FF941100"/>
      <name val="Arial"/>
      <family val="2"/>
    </font>
    <font>
      <sz val="10"/>
      <color indexed="54"/>
      <name val="Arial"/>
      <family val="2"/>
    </font>
    <font>
      <b/>
      <i/>
      <sz val="10"/>
      <color rgb="FFFF8AD8"/>
      <name val="Arial"/>
      <family val="2"/>
    </font>
    <font>
      <sz val="18"/>
      <color indexed="17"/>
      <name val="Astrodienst Regular"/>
    </font>
    <font>
      <b/>
      <sz val="12"/>
      <color rgb="FFED7D31"/>
      <name val="Arial"/>
      <family val="2"/>
    </font>
    <font>
      <b/>
      <sz val="10"/>
      <color rgb="FFED7D31"/>
      <name val="Arial"/>
      <family val="2"/>
    </font>
    <font>
      <b/>
      <i/>
      <sz val="12"/>
      <color rgb="FFFF8AD8"/>
      <name val="Arial"/>
      <family val="2"/>
    </font>
    <font>
      <sz val="10"/>
      <color indexed="56"/>
      <name val="Arial"/>
      <family val="2"/>
    </font>
    <font>
      <i/>
      <sz val="12"/>
      <color indexed="54"/>
      <name val="Arial"/>
      <family val="2"/>
    </font>
    <font>
      <sz val="18"/>
      <color rgb="FF0070C0"/>
      <name val="Horoscope2000"/>
    </font>
    <font>
      <b/>
      <sz val="12"/>
      <color rgb="FFBF9000"/>
      <name val="Arial"/>
      <family val="2"/>
    </font>
    <font>
      <b/>
      <sz val="10"/>
      <color rgb="FFBF9000"/>
      <name val="Arial"/>
      <family val="2"/>
    </font>
    <font>
      <b/>
      <sz val="12"/>
      <color indexed="34"/>
      <name val="Arial"/>
      <family val="2"/>
    </font>
    <font>
      <i/>
      <sz val="7"/>
      <color indexed="11"/>
      <name val="Arial"/>
      <family val="2"/>
    </font>
    <font>
      <b/>
      <sz val="10"/>
      <color indexed="34"/>
      <name val="Arial"/>
      <family val="2"/>
    </font>
    <font>
      <b/>
      <sz val="8"/>
      <color indexed="34"/>
      <name val="Arial"/>
      <family val="2"/>
    </font>
    <font>
      <sz val="18"/>
      <color indexed="62"/>
      <name val="Horoscope2000"/>
    </font>
    <font>
      <b/>
      <i/>
      <sz val="10"/>
      <color indexed="38"/>
      <name val="Arial"/>
      <family val="2"/>
    </font>
    <font>
      <b/>
      <i/>
      <sz val="10"/>
      <color indexed="54"/>
      <name val="Arial"/>
      <family val="2"/>
    </font>
    <font>
      <sz val="14"/>
      <color indexed="62"/>
      <name val="Astronomic Signs St"/>
    </font>
    <font>
      <b/>
      <i/>
      <sz val="10"/>
      <color rgb="FFFF8080"/>
      <name val="Arial"/>
      <family val="2"/>
    </font>
    <font>
      <b/>
      <i/>
      <sz val="10"/>
      <color indexed="51"/>
      <name val="Arial"/>
      <family val="2"/>
    </font>
    <font>
      <b/>
      <i/>
      <sz val="10"/>
      <color rgb="FFFF99CC"/>
      <name val="Arial"/>
      <family val="2"/>
    </font>
    <font>
      <b/>
      <i/>
      <sz val="10"/>
      <color indexed="56"/>
      <name val="Arial"/>
      <family val="2"/>
    </font>
    <font>
      <sz val="10"/>
      <color indexed="49"/>
      <name val="Arial"/>
      <family val="2"/>
    </font>
    <font>
      <b/>
      <sz val="10"/>
      <color rgb="FF993366"/>
      <name val="Arial"/>
      <family val="2"/>
    </font>
    <font>
      <sz val="18"/>
      <color indexed="8"/>
      <name val="Arial"/>
      <family val="2"/>
    </font>
    <font>
      <i/>
      <sz val="14"/>
      <color indexed="10"/>
      <name val="Arial"/>
      <family val="2"/>
    </font>
    <font>
      <sz val="18"/>
      <color indexed="8"/>
      <name val="Horoscope2000"/>
    </font>
    <font>
      <sz val="10"/>
      <color rgb="FF009193"/>
      <name val="Arial"/>
      <family val="2"/>
    </font>
    <font>
      <b/>
      <sz val="12"/>
      <color rgb="FF99CCFF"/>
      <name val="Arial"/>
      <family val="2"/>
    </font>
    <font>
      <vertAlign val="subscript"/>
      <sz val="18"/>
      <color indexed="29"/>
      <name val="Horoscope2000"/>
    </font>
    <font>
      <vertAlign val="subscript"/>
      <sz val="14"/>
      <color indexed="11"/>
      <name val="Arial"/>
      <family val="2"/>
    </font>
    <font>
      <vertAlign val="subscript"/>
      <sz val="18"/>
      <color rgb="FFED7D31"/>
      <name val="Horoscope2000"/>
    </font>
    <font>
      <vertAlign val="subscript"/>
      <sz val="14"/>
      <color rgb="FFED7D31"/>
      <name val="Arial"/>
      <family val="2"/>
    </font>
    <font>
      <sz val="16"/>
      <color indexed="24"/>
      <name val="Horoscope2000"/>
    </font>
    <font>
      <vertAlign val="subscript"/>
      <sz val="14"/>
      <color rgb="FF941100"/>
      <name val="Arial"/>
      <family val="2"/>
    </font>
    <font>
      <vertAlign val="subscript"/>
      <sz val="14"/>
      <color indexed="40"/>
      <name val="Arial"/>
      <family val="2"/>
    </font>
    <font>
      <vertAlign val="subscript"/>
      <sz val="18"/>
      <color rgb="FFFF8AD8"/>
      <name val="Horoscope2000"/>
    </font>
    <font>
      <sz val="36"/>
      <color indexed="29"/>
      <name val="Horoscope2000"/>
    </font>
    <font>
      <vertAlign val="subscript"/>
      <sz val="18"/>
      <color indexed="17"/>
      <name val="Horoscope2000"/>
    </font>
    <font>
      <vertAlign val="subscript"/>
      <sz val="14"/>
      <color indexed="17"/>
      <name val="Arial"/>
      <family val="2"/>
    </font>
    <font>
      <sz val="16"/>
      <color rgb="FFED7D31"/>
      <name val="Horoscope2000"/>
    </font>
    <font>
      <sz val="12"/>
      <color rgb="FF941100"/>
      <name val="Arial"/>
      <family val="2"/>
    </font>
    <font>
      <vertAlign val="subscript"/>
      <sz val="18"/>
      <color indexed="35"/>
      <name val="Horoscope2000"/>
    </font>
    <font>
      <vertAlign val="subscript"/>
      <sz val="18"/>
      <color rgb="FF9437FF"/>
      <name val="Horoscope2000"/>
    </font>
    <font>
      <vertAlign val="subscript"/>
      <sz val="18"/>
      <color rgb="FFBF9000"/>
      <name val="Horoscope2000"/>
    </font>
    <font>
      <sz val="16"/>
      <color rgb="FF941100"/>
      <name val="Horoscope2000"/>
    </font>
    <font>
      <sz val="10"/>
      <color rgb="FF9DC3E6"/>
      <name val="Arial"/>
      <family val="2"/>
    </font>
    <font>
      <vertAlign val="subscript"/>
      <sz val="14"/>
      <color rgb="FFBF9000"/>
      <name val="Arial"/>
      <family val="2"/>
    </font>
    <font>
      <sz val="16"/>
      <color indexed="36"/>
      <name val="Horoscope2000"/>
    </font>
    <font>
      <vertAlign val="subscript"/>
      <sz val="14"/>
      <color rgb="FFFF8AD8"/>
      <name val="Arial"/>
      <family val="2"/>
    </font>
    <font>
      <sz val="16"/>
      <color indexed="11"/>
      <name val="Horoscope2000"/>
    </font>
    <font>
      <sz val="12"/>
      <color indexed="11"/>
      <name val="Lucida Grande"/>
      <family val="2"/>
    </font>
    <font>
      <sz val="16"/>
      <color indexed="33"/>
      <name val="Horoscope2000"/>
    </font>
    <font>
      <vertAlign val="subscript"/>
      <sz val="14"/>
      <color indexed="35"/>
      <name val="Arial"/>
      <family val="2"/>
    </font>
    <font>
      <b/>
      <sz val="7"/>
      <color indexed="10"/>
      <name val="Arial"/>
      <family val="2"/>
    </font>
    <font>
      <b/>
      <i/>
      <sz val="12"/>
      <color rgb="FF99CCFF"/>
      <name val="Arial"/>
      <family val="2"/>
    </font>
    <font>
      <sz val="6"/>
      <color indexed="8"/>
      <name val="Arial"/>
      <family val="2"/>
    </font>
    <font>
      <sz val="10"/>
      <color indexed="10"/>
      <name val="Trebuchet MS"/>
      <family val="2"/>
    </font>
    <font>
      <sz val="10"/>
      <color rgb="FF0000FF"/>
      <name val="Arial"/>
      <family val="2"/>
    </font>
    <font>
      <sz val="20"/>
      <color indexed="23"/>
      <name val="Astronomic Signs St"/>
    </font>
    <font>
      <sz val="28"/>
      <color rgb="FF941100"/>
      <name val="Horoscope2000"/>
    </font>
    <font>
      <i/>
      <sz val="10"/>
      <color indexed="49"/>
      <name val="Arial"/>
      <family val="2"/>
    </font>
    <font>
      <i/>
      <sz val="10"/>
      <color indexed="23"/>
      <name val="Arial"/>
      <family val="2"/>
    </font>
    <font>
      <i/>
      <sz val="10"/>
      <color indexed="38"/>
      <name val="Arial"/>
      <family val="2"/>
    </font>
    <font>
      <b/>
      <sz val="10"/>
      <color indexed="38"/>
      <name val="Arial"/>
      <family val="2"/>
    </font>
    <font>
      <b/>
      <sz val="10"/>
      <color indexed="24"/>
      <name val="Arial"/>
      <family val="2"/>
    </font>
    <font>
      <sz val="10"/>
      <color indexed="23"/>
      <name val="Arial"/>
      <family val="2"/>
    </font>
    <font>
      <sz val="10"/>
      <color indexed="25"/>
      <name val="Arial"/>
      <family val="2"/>
    </font>
    <font>
      <sz val="10"/>
      <color rgb="FF0066CC"/>
      <name val="Arial"/>
      <family val="2"/>
    </font>
    <font>
      <sz val="12"/>
      <color rgb="FFBF9000"/>
      <name val="Arial"/>
      <family val="2"/>
    </font>
    <font>
      <sz val="28"/>
      <color indexed="23"/>
      <name val="Horoscope2000"/>
    </font>
    <font>
      <sz val="28"/>
      <color rgb="FFED7D31"/>
      <name val="Horoscope2000"/>
    </font>
    <font>
      <i/>
      <sz val="10"/>
      <color indexed="56"/>
      <name val="Arial"/>
      <family val="2"/>
    </font>
    <font>
      <i/>
      <sz val="8"/>
      <color rgb="FFE8C0FF"/>
      <name val="Arial"/>
      <family val="2"/>
    </font>
    <font>
      <sz val="12"/>
      <color indexed="29"/>
      <name val="Horoscope2000"/>
    </font>
    <font>
      <sz val="14"/>
      <color rgb="FFE8C0FF"/>
      <name val="Horoscope2000"/>
    </font>
    <font>
      <b/>
      <sz val="10"/>
      <color indexed="60"/>
      <name val="Arial"/>
      <family val="2"/>
    </font>
    <font>
      <sz val="8"/>
      <color indexed="49"/>
      <name val="Arial"/>
      <family val="2"/>
    </font>
    <font>
      <sz val="10"/>
      <color indexed="55"/>
      <name val="Arial"/>
      <family val="2"/>
    </font>
    <font>
      <sz val="28"/>
      <color indexed="32"/>
      <name val="Horoscope2000"/>
    </font>
    <font>
      <b/>
      <sz val="10"/>
      <color rgb="FF0000FF"/>
      <name val="Arial"/>
      <family val="2"/>
    </font>
    <font>
      <i/>
      <sz val="9"/>
      <color indexed="49"/>
      <name val="Arial"/>
      <family val="2"/>
    </font>
    <font>
      <b/>
      <sz val="10"/>
      <color indexed="51"/>
      <name val="Arial"/>
      <family val="2"/>
    </font>
    <font>
      <b/>
      <sz val="10"/>
      <color rgb="FFFF8080"/>
      <name val="Arial"/>
      <family val="2"/>
    </font>
    <font>
      <b/>
      <sz val="10"/>
      <color rgb="FFFF99CC"/>
      <name val="Arial"/>
      <family val="2"/>
    </font>
    <font>
      <b/>
      <sz val="10"/>
      <color rgb="FF0066CC"/>
      <name val="Arial"/>
      <family val="2"/>
    </font>
    <font>
      <b/>
      <sz val="10"/>
      <color indexed="54"/>
      <name val="Arial"/>
      <family val="2"/>
    </font>
    <font>
      <i/>
      <sz val="10"/>
      <color rgb="FF7A81FF"/>
      <name val="Arial"/>
      <family val="2"/>
    </font>
    <font>
      <sz val="10"/>
      <color rgb="FF7A81FF"/>
      <name val="Arial"/>
      <family val="2"/>
    </font>
    <font>
      <sz val="10"/>
      <color rgb="FF666699"/>
      <name val="Astrodienst Regular"/>
    </font>
    <font>
      <sz val="10"/>
      <color rgb="FF0066CC"/>
      <name val="Astrodienst Regular"/>
    </font>
    <font>
      <sz val="10"/>
      <color indexed="40"/>
      <name val="Astrodienst Regular"/>
    </font>
    <font>
      <sz val="9"/>
      <color indexed="49"/>
      <name val="Arial"/>
      <family val="2"/>
    </font>
    <font>
      <b/>
      <sz val="6"/>
      <color indexed="10"/>
      <name val="Arial"/>
      <family val="2"/>
    </font>
    <font>
      <sz val="12"/>
      <color indexed="34"/>
      <name val="Horoscope2000"/>
    </font>
    <font>
      <sz val="12"/>
      <color indexed="8"/>
      <name val="Horoscope2000"/>
    </font>
    <font>
      <sz val="16"/>
      <color indexed="34"/>
      <name val="Astrodienst Regular"/>
    </font>
    <font>
      <sz val="12"/>
      <color indexed="17"/>
      <name val="Horoscope2000"/>
    </font>
    <font>
      <sz val="12"/>
      <color indexed="55"/>
      <name val="Horoscope2000"/>
    </font>
    <font>
      <sz val="8"/>
      <color rgb="FF99CCFF"/>
      <name val="Arial"/>
      <family val="2"/>
    </font>
    <font>
      <vertAlign val="superscript"/>
      <sz val="14"/>
      <color indexed="10"/>
      <name val="Arial"/>
      <family val="2"/>
    </font>
    <font>
      <sz val="12"/>
      <color rgb="FFFF99CC"/>
      <name val="Horoscope2000"/>
    </font>
    <font>
      <sz val="12"/>
      <color indexed="54"/>
      <name val="Horoscope2000"/>
    </font>
    <font>
      <sz val="12"/>
      <color indexed="36"/>
      <name val="Horoscope2000"/>
    </font>
    <font>
      <sz val="6"/>
      <color indexed="11"/>
      <name val="Arial"/>
      <family val="2"/>
    </font>
    <font>
      <sz val="12"/>
      <color indexed="10"/>
      <name val="Horoscope2000"/>
    </font>
    <font>
      <sz val="10"/>
      <color indexed="62"/>
      <name val="Arial"/>
      <family val="2"/>
    </font>
    <font>
      <b/>
      <sz val="6"/>
      <color indexed="11"/>
      <name val="Arial"/>
      <family val="2"/>
    </font>
    <font>
      <sz val="16"/>
      <color indexed="29"/>
      <name val="Astrodienst"/>
    </font>
    <font>
      <b/>
      <sz val="9"/>
      <color rgb="FF99CCFF"/>
      <name val="Arial"/>
      <family val="2"/>
    </font>
    <font>
      <b/>
      <sz val="12"/>
      <color indexed="11"/>
      <name val="Arial"/>
      <family val="2"/>
    </font>
    <font>
      <b/>
      <sz val="12"/>
      <color indexed="35"/>
      <name val="Arial"/>
      <family val="2"/>
    </font>
    <font>
      <b/>
      <sz val="12"/>
      <color indexed="23"/>
      <name val="Arial"/>
      <family val="2"/>
    </font>
    <font>
      <b/>
      <sz val="12"/>
      <color indexed="38"/>
      <name val="Arial"/>
      <family val="2"/>
    </font>
    <font>
      <b/>
      <sz val="12"/>
      <color indexed="56"/>
      <name val="Arial"/>
      <family val="2"/>
    </font>
    <font>
      <b/>
      <sz val="12"/>
      <color indexed="24"/>
      <name val="Arial"/>
      <family val="2"/>
    </font>
    <font>
      <sz val="9"/>
      <color rgb="FF99CCFF"/>
      <name val="Arial"/>
      <family val="2"/>
    </font>
    <font>
      <sz val="11"/>
      <color indexed="38"/>
      <name val="Arial"/>
      <family val="2"/>
    </font>
    <font>
      <sz val="11"/>
      <color indexed="24"/>
      <name val="Arial"/>
      <family val="2"/>
    </font>
    <font>
      <sz val="11"/>
      <color indexed="11"/>
      <name val="Arial"/>
      <family val="2"/>
    </font>
    <font>
      <b/>
      <sz val="11"/>
      <color indexed="8"/>
      <name val="Arial"/>
      <family val="2"/>
    </font>
    <font>
      <sz val="11"/>
      <color indexed="36"/>
      <name val="Arial"/>
      <family val="2"/>
    </font>
    <font>
      <sz val="11"/>
      <color rgb="FF941100"/>
      <name val="Arial"/>
      <family val="2"/>
    </font>
    <font>
      <b/>
      <sz val="10"/>
      <color indexed="8"/>
      <name val="Arial"/>
      <family val="2"/>
    </font>
    <font>
      <b/>
      <sz val="9"/>
      <color rgb="FF0000FF"/>
      <name val="Arial"/>
      <family val="2"/>
    </font>
    <font>
      <sz val="10"/>
      <color rgb="FF00FF00"/>
      <name val="Arial"/>
      <family val="2"/>
    </font>
    <font>
      <sz val="28"/>
      <color indexed="14"/>
      <name val="Horoscope2000"/>
    </font>
    <font>
      <b/>
      <sz val="12"/>
      <color indexed="8"/>
      <name val="Arial"/>
      <family val="2"/>
    </font>
    <font>
      <b/>
      <sz val="12"/>
      <color indexed="14"/>
      <name val="Arial"/>
      <family val="2"/>
    </font>
    <font>
      <sz val="12"/>
      <color indexed="15"/>
      <name val="Arial"/>
      <family val="2"/>
    </font>
    <font>
      <b/>
      <sz val="12"/>
      <color rgb="FFFFD200"/>
      <name val="Arial"/>
      <family val="2"/>
    </font>
    <font>
      <b/>
      <sz val="11"/>
      <color indexed="11"/>
      <name val="Arial"/>
      <family val="2"/>
    </font>
    <font>
      <sz val="10"/>
      <color rgb="FFFFD200"/>
      <name val="Arial"/>
      <family val="2"/>
    </font>
    <font>
      <sz val="11"/>
      <color indexed="15"/>
      <name val="Arial"/>
      <family val="2"/>
    </font>
    <font>
      <sz val="11"/>
      <color indexed="54"/>
      <name val="Arial"/>
      <family val="2"/>
    </font>
    <font>
      <b/>
      <sz val="11"/>
      <color rgb="FF333399"/>
      <name val="Arial"/>
      <family val="2"/>
    </font>
    <font>
      <b/>
      <sz val="12"/>
      <color indexed="15"/>
      <name val="Arial"/>
      <family val="2"/>
    </font>
    <font>
      <b/>
      <sz val="12"/>
      <color indexed="54"/>
      <name val="Arial"/>
      <family val="2"/>
    </font>
    <font>
      <b/>
      <sz val="7"/>
      <color rgb="FF99CCFF"/>
      <name val="Arial"/>
      <family val="2"/>
    </font>
    <font>
      <b/>
      <sz val="11"/>
      <color rgb="FF0000FF"/>
      <name val="Arial"/>
      <family val="2"/>
    </font>
    <font>
      <b/>
      <sz val="11"/>
      <color indexed="34"/>
      <name val="Arial"/>
      <family val="2"/>
    </font>
    <font>
      <b/>
      <sz val="11"/>
      <color indexed="35"/>
      <name val="Arial"/>
      <family val="2"/>
    </font>
    <font>
      <b/>
      <sz val="11"/>
      <color rgb="FFBF9000"/>
      <name val="Arial"/>
      <family val="2"/>
    </font>
    <font>
      <b/>
      <sz val="11"/>
      <color indexed="17"/>
      <name val="Arial"/>
      <family val="2"/>
    </font>
    <font>
      <b/>
      <sz val="11"/>
      <color rgb="FFED7D31"/>
      <name val="Arial"/>
      <family val="2"/>
    </font>
    <font>
      <b/>
      <sz val="11"/>
      <color indexed="40"/>
      <name val="Arial"/>
      <family val="2"/>
    </font>
    <font>
      <b/>
      <sz val="11"/>
      <color indexed="33"/>
      <name val="Arial"/>
      <family val="2"/>
    </font>
    <font>
      <b/>
      <sz val="11"/>
      <color indexed="60"/>
      <name val="Arial"/>
      <family val="2"/>
    </font>
    <font>
      <b/>
      <sz val="11"/>
      <color rgb="FF99CCFF"/>
      <name val="Arial"/>
      <family val="2"/>
    </font>
    <font>
      <sz val="9"/>
      <color rgb="FF0000FF"/>
      <name val="Arial"/>
      <family val="2"/>
    </font>
    <font>
      <sz val="11"/>
      <color rgb="FFED7D31"/>
      <name val="Arial"/>
      <family val="2"/>
    </font>
    <font>
      <sz val="11"/>
      <color indexed="60"/>
      <name val="Arial"/>
      <family val="2"/>
    </font>
    <font>
      <sz val="11"/>
      <color indexed="8"/>
      <name val="Arial"/>
      <family val="2"/>
    </font>
    <font>
      <sz val="8"/>
      <color indexed="8"/>
      <name val="Verdana"/>
      <family val="2"/>
    </font>
    <font>
      <sz val="8"/>
      <color indexed="34"/>
      <name val="Verdana"/>
      <family val="2"/>
    </font>
    <font>
      <sz val="8"/>
      <color indexed="35"/>
      <name val="Verdana"/>
      <family val="2"/>
    </font>
    <font>
      <sz val="8"/>
      <color indexed="36"/>
      <name val="Verdana"/>
      <family val="2"/>
    </font>
    <font>
      <sz val="8"/>
      <color rgb="FFBF9000"/>
      <name val="Verdana"/>
      <family val="2"/>
    </font>
    <font>
      <sz val="8"/>
      <color indexed="17"/>
      <name val="Verdana"/>
      <family val="2"/>
    </font>
    <font>
      <sz val="8"/>
      <color rgb="FFED7D31"/>
      <name val="Verdana"/>
      <family val="2"/>
    </font>
    <font>
      <sz val="8"/>
      <color rgb="FF941100"/>
      <name val="Verdana"/>
      <family val="2"/>
    </font>
    <font>
      <sz val="8"/>
      <color indexed="40"/>
      <name val="Verdana"/>
      <family val="2"/>
    </font>
    <font>
      <sz val="8"/>
      <color indexed="33"/>
      <name val="Verdana"/>
      <family val="2"/>
    </font>
    <font>
      <sz val="8"/>
      <color indexed="24"/>
      <name val="Verdana"/>
      <family val="2"/>
    </font>
    <font>
      <i/>
      <sz val="8"/>
      <color indexed="49"/>
      <name val="Verdana"/>
      <family val="2"/>
    </font>
    <font>
      <i/>
      <sz val="8"/>
      <color indexed="34"/>
      <name val="Verdana"/>
      <family val="2"/>
    </font>
    <font>
      <i/>
      <sz val="8"/>
      <color indexed="35"/>
      <name val="Verdana"/>
      <family val="2"/>
    </font>
    <font>
      <i/>
      <sz val="8"/>
      <color indexed="36"/>
      <name val="Verdana"/>
      <family val="2"/>
    </font>
    <font>
      <i/>
      <sz val="8"/>
      <color rgb="FFBF9000"/>
      <name val="Verdana"/>
      <family val="2"/>
    </font>
    <font>
      <i/>
      <sz val="8"/>
      <color indexed="17"/>
      <name val="Verdana"/>
      <family val="2"/>
    </font>
    <font>
      <i/>
      <sz val="8"/>
      <color rgb="FFED7D31"/>
      <name val="Verdana"/>
      <family val="2"/>
    </font>
    <font>
      <i/>
      <sz val="8"/>
      <color rgb="FF941100"/>
      <name val="Verdana"/>
      <family val="2"/>
    </font>
    <font>
      <i/>
      <sz val="8"/>
      <color indexed="40"/>
      <name val="Verdana"/>
      <family val="2"/>
    </font>
    <font>
      <i/>
      <sz val="8"/>
      <color indexed="33"/>
      <name val="Verdana"/>
      <family val="2"/>
    </font>
    <font>
      <i/>
      <sz val="8"/>
      <color rgb="FF333399"/>
      <name val="Verdana"/>
      <family val="2"/>
    </font>
    <font>
      <sz val="10"/>
      <color indexed="36"/>
      <name val="Verdana"/>
      <family val="2"/>
    </font>
    <font>
      <sz val="10"/>
      <color indexed="33"/>
      <name val="Verdana"/>
      <family val="2"/>
    </font>
    <font>
      <b/>
      <sz val="9"/>
      <color rgb="FF7A81FF"/>
      <name val="Arial"/>
      <family val="2"/>
    </font>
    <font>
      <b/>
      <sz val="11"/>
      <color indexed="36"/>
      <name val="Arial"/>
      <family val="2"/>
    </font>
    <font>
      <b/>
      <sz val="11"/>
      <color rgb="FF941100"/>
      <name val="Arial"/>
      <family val="2"/>
    </font>
    <font>
      <b/>
      <sz val="11"/>
      <color indexed="56"/>
      <name val="Arial"/>
      <family val="2"/>
    </font>
    <font>
      <b/>
      <sz val="11"/>
      <color indexed="24"/>
      <name val="Arial"/>
      <family val="2"/>
    </font>
    <font>
      <b/>
      <i/>
      <sz val="9"/>
      <color indexed="24"/>
      <name val="Arial"/>
      <family val="2"/>
    </font>
    <font>
      <sz val="18"/>
      <color indexed="11"/>
      <name val="Arial"/>
      <family val="2"/>
    </font>
    <font>
      <b/>
      <sz val="10"/>
      <color indexed="61"/>
      <name val="Arial"/>
      <family val="2"/>
    </font>
    <font>
      <b/>
      <sz val="11"/>
      <color rgb="FF00FF00"/>
      <name val="Arial"/>
      <family val="2"/>
    </font>
    <font>
      <b/>
      <sz val="11"/>
      <color indexed="15"/>
      <name val="Arial"/>
      <family val="2"/>
    </font>
    <font>
      <b/>
      <sz val="11"/>
      <color rgb="FFFFCC00"/>
      <name val="Arial"/>
      <family val="2"/>
    </font>
    <font>
      <b/>
      <sz val="11"/>
      <color rgb="FF003366"/>
      <name val="Arial"/>
      <family val="2"/>
    </font>
    <font>
      <sz val="11"/>
      <color rgb="FFFFCC00"/>
      <name val="Arial"/>
      <family val="2"/>
    </font>
    <font>
      <sz val="11"/>
      <color indexed="33"/>
      <name val="Arial"/>
      <family val="2"/>
    </font>
    <font>
      <sz val="11"/>
      <color rgb="FF003366"/>
      <name val="Arial"/>
      <family val="2"/>
    </font>
    <font>
      <sz val="11"/>
      <color rgb="FF00FF00"/>
      <name val="Arial"/>
      <family val="2"/>
    </font>
    <font>
      <sz val="11"/>
      <color indexed="17"/>
      <name val="Arial"/>
      <family val="2"/>
    </font>
    <font>
      <sz val="11"/>
      <color indexed="61"/>
      <name val="Arial"/>
      <family val="2"/>
    </font>
    <font>
      <b/>
      <sz val="11"/>
      <color indexed="61"/>
      <name val="Arial"/>
      <family val="2"/>
    </font>
    <font>
      <sz val="28"/>
      <color indexed="61"/>
      <name val="Horoscope2000"/>
    </font>
    <font>
      <sz val="28"/>
      <color rgb="FF203864"/>
      <name val="Horoscope2000"/>
    </font>
    <font>
      <sz val="10"/>
      <color rgb="FF203864"/>
      <name val="Arial"/>
      <family val="2"/>
    </font>
    <font>
      <b/>
      <sz val="11"/>
      <color rgb="FF203864"/>
      <name val="Arial"/>
      <family val="2"/>
    </font>
    <font>
      <sz val="11"/>
      <color rgb="FF0000FF"/>
      <name val="Arial"/>
      <family val="2"/>
    </font>
    <font>
      <sz val="11"/>
      <color indexed="35"/>
      <name val="Arial"/>
      <family val="2"/>
    </font>
    <font>
      <sz val="11"/>
      <color rgb="FF203864"/>
      <name val="Arial"/>
      <family val="2"/>
    </font>
    <font>
      <sz val="10"/>
      <color theme="0" tint="-0.34998626667073579"/>
      <name val="Arial"/>
      <family val="2"/>
    </font>
    <font>
      <sz val="10"/>
      <color rgb="FF00B050"/>
      <name val="Arial"/>
      <family val="2"/>
    </font>
    <font>
      <sz val="10"/>
      <color rgb="FFFFD579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0"/>
      <color rgb="FFC00000"/>
      <name val="Arial"/>
      <family val="2"/>
    </font>
    <font>
      <sz val="10"/>
      <color rgb="FF0096FF"/>
      <name val="Arial"/>
      <family val="2"/>
    </font>
    <font>
      <sz val="10"/>
      <color rgb="FF002060"/>
      <name val="Arial"/>
      <family val="2"/>
    </font>
    <font>
      <b/>
      <sz val="10"/>
      <color theme="0" tint="-0.34998626667073579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0"/>
      <color theme="5"/>
      <name val="Arial"/>
      <family val="2"/>
    </font>
    <font>
      <b/>
      <sz val="10"/>
      <color rgb="FFC00000"/>
      <name val="Arial"/>
      <family val="2"/>
    </font>
    <font>
      <b/>
      <sz val="10"/>
      <color rgb="FF9437FF"/>
      <name val="Arial"/>
      <family val="2"/>
    </font>
    <font>
      <b/>
      <sz val="10"/>
      <color rgb="FF002060"/>
      <name val="Arial"/>
      <family val="2"/>
    </font>
    <font>
      <sz val="18"/>
      <color rgb="FFFF8CFB"/>
      <name val="Horoscope2000"/>
    </font>
    <font>
      <sz val="10"/>
      <color rgb="FFFF8CFB"/>
      <name val="Arial"/>
      <family val="2"/>
    </font>
    <font>
      <b/>
      <sz val="10"/>
      <color rgb="FFFF8CFB"/>
      <name val="Arial"/>
      <family val="2"/>
    </font>
    <font>
      <b/>
      <sz val="11"/>
      <color theme="0" tint="-0.249977111117893"/>
      <name val="Arial"/>
      <family val="2"/>
    </font>
    <font>
      <sz val="18"/>
      <color theme="0" tint="-0.34998626667073579"/>
      <name val="Horoscope2000"/>
    </font>
    <font>
      <sz val="18"/>
      <color rgb="FF00B050"/>
      <name val="Horoscope2000"/>
    </font>
    <font>
      <i/>
      <sz val="10"/>
      <color rgb="FF00B050"/>
      <name val="Arial"/>
      <family val="2"/>
    </font>
    <font>
      <i/>
      <sz val="10"/>
      <color rgb="FFFF8CFB"/>
      <name val="Arial"/>
      <family val="2"/>
    </font>
    <font>
      <sz val="18"/>
      <color rgb="FFFFD579"/>
      <name val="Horoscope2000"/>
    </font>
    <font>
      <sz val="18"/>
      <color rgb="FFFF0000"/>
      <name val="Horoscope2000"/>
    </font>
    <font>
      <sz val="18"/>
      <color theme="5"/>
      <name val="Horoscope2000"/>
    </font>
    <font>
      <sz val="18"/>
      <color rgb="FFC00000"/>
      <name val="Horoscope2000"/>
    </font>
    <font>
      <sz val="18"/>
      <color rgb="FF0096FF"/>
      <name val="Horoscope2000"/>
    </font>
    <font>
      <sz val="18"/>
      <color rgb="FF002060"/>
      <name val="Horoscope2000"/>
    </font>
    <font>
      <sz val="10"/>
      <color rgb="FFFFC000"/>
      <name val="Arial"/>
      <family val="2"/>
    </font>
    <font>
      <sz val="12"/>
      <color rgb="FFFFC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0" tint="-0.499984740745262"/>
      <name val="Arial"/>
      <family val="2"/>
    </font>
    <font>
      <sz val="10"/>
      <color rgb="FF0432FF"/>
      <name val="Arial"/>
      <family val="2"/>
    </font>
    <font>
      <i/>
      <sz val="10"/>
      <color rgb="FF0432FF"/>
      <name val="Arial"/>
      <family val="2"/>
    </font>
    <font>
      <i/>
      <sz val="10"/>
      <color theme="5"/>
      <name val="Arial"/>
      <family val="2"/>
    </font>
    <font>
      <i/>
      <sz val="10"/>
      <color theme="0" tint="-0.34998626667073579"/>
      <name val="Arial"/>
      <family val="2"/>
    </font>
    <font>
      <sz val="12"/>
      <color theme="0" tint="-0.34998626667073579"/>
      <name val="Arial"/>
      <family val="2"/>
    </font>
    <font>
      <sz val="28"/>
      <color rgb="FFFF8CFB"/>
      <name val="Horoscope2000"/>
    </font>
    <font>
      <b/>
      <i/>
      <sz val="10"/>
      <color rgb="FFFF8CFB"/>
      <name val="Arial"/>
      <family val="2"/>
    </font>
    <font>
      <sz val="12"/>
      <color rgb="FFFF8CFB"/>
      <name val="Arial"/>
      <family val="2"/>
    </font>
    <font>
      <sz val="10"/>
      <color theme="7" tint="-0.249977111117893"/>
      <name val="Arial"/>
      <family val="2"/>
    </font>
    <font>
      <sz val="28"/>
      <color rgb="FF9437FF"/>
      <name val="Horoscope2000"/>
    </font>
    <font>
      <sz val="12"/>
      <color rgb="FF9437FF"/>
      <name val="Arial"/>
      <family val="2"/>
    </font>
    <font>
      <i/>
      <sz val="10"/>
      <color rgb="FF002060"/>
      <name val="Arial"/>
      <family val="2"/>
    </font>
    <font>
      <sz val="12"/>
      <color rgb="FF002060"/>
      <name val="Arial"/>
      <family val="2"/>
    </font>
    <font>
      <sz val="28"/>
      <color rgb="FF002060"/>
      <name val="Horoscope2000"/>
    </font>
    <font>
      <sz val="12"/>
      <color rgb="FFFF000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name val="Geneva"/>
      <family val="2"/>
    </font>
    <font>
      <sz val="10"/>
      <color indexed="46"/>
      <name val="Arial"/>
      <family val="2"/>
    </font>
    <font>
      <sz val="18"/>
      <color rgb="FF002060"/>
      <name val="Arial"/>
      <family val="2"/>
    </font>
    <font>
      <b/>
      <sz val="10"/>
      <color theme="7" tint="-0.249977111117893"/>
      <name val="Arial"/>
      <family val="2"/>
    </font>
    <font>
      <b/>
      <sz val="10"/>
      <color rgb="FF0432FF"/>
      <name val="Arial"/>
      <family val="2"/>
    </font>
    <font>
      <sz val="9"/>
      <color theme="0" tint="-0.34998626667073579"/>
      <name val="Arial"/>
      <family val="2"/>
    </font>
    <font>
      <i/>
      <sz val="10"/>
      <color theme="7" tint="-0.249977111117893"/>
      <name val="Arial"/>
      <family val="2"/>
    </font>
    <font>
      <vertAlign val="subscript"/>
      <sz val="18"/>
      <color theme="7" tint="-0.249977111117893"/>
      <name val="Horoscope2000"/>
    </font>
    <font>
      <vertAlign val="subscript"/>
      <sz val="18"/>
      <color rgb="FF00B050"/>
      <name val="Horoscope2000"/>
    </font>
    <font>
      <vertAlign val="subscript"/>
      <sz val="18"/>
      <color rgb="FFFF8CFB"/>
      <name val="Horoscope2000"/>
    </font>
    <font>
      <vertAlign val="subscript"/>
      <sz val="18"/>
      <color theme="5"/>
      <name val="Horoscope2000"/>
    </font>
    <font>
      <i/>
      <sz val="10"/>
      <color rgb="FFC00000"/>
      <name val="Arial"/>
      <family val="2"/>
    </font>
    <font>
      <vertAlign val="subscript"/>
      <sz val="18"/>
      <color rgb="FFC00000"/>
      <name val="Horoscope2000"/>
    </font>
    <font>
      <vertAlign val="subscript"/>
      <sz val="18"/>
      <color theme="0" tint="-0.34998626667073579"/>
      <name val="Horoscope2000"/>
    </font>
    <font>
      <vertAlign val="subscript"/>
      <sz val="18"/>
      <color rgb="FF002060"/>
      <name val="Horoscope2000"/>
    </font>
    <font>
      <i/>
      <sz val="10"/>
      <color rgb="FF0096FF"/>
      <name val="Arial"/>
      <family val="2"/>
    </font>
    <font>
      <vertAlign val="subscript"/>
      <sz val="18"/>
      <color rgb="FF0096FF"/>
      <name val="Horoscope2000"/>
    </font>
    <font>
      <vertAlign val="subscript"/>
      <sz val="18"/>
      <color rgb="FFFF0000"/>
      <name val="Horoscope2000"/>
    </font>
    <font>
      <vertAlign val="subscript"/>
      <sz val="10"/>
      <color theme="7" tint="-0.249977111117893"/>
      <name val="Arial"/>
      <family val="2"/>
    </font>
    <font>
      <vertAlign val="subscript"/>
      <sz val="10"/>
      <color rgb="FF00B050"/>
      <name val="Arial"/>
      <family val="2"/>
    </font>
    <font>
      <vertAlign val="subscript"/>
      <sz val="10"/>
      <color rgb="FFFF0000"/>
      <name val="Arial"/>
      <family val="2"/>
    </font>
    <font>
      <vertAlign val="subscript"/>
      <sz val="10"/>
      <color rgb="FFFF8CFB"/>
      <name val="Arial"/>
      <family val="2"/>
    </font>
    <font>
      <vertAlign val="subscript"/>
      <sz val="10"/>
      <color theme="5"/>
      <name val="Arial"/>
      <family val="2"/>
    </font>
    <font>
      <vertAlign val="subscript"/>
      <sz val="10"/>
      <color rgb="FF9437FF"/>
      <name val="Arial"/>
      <family val="2"/>
    </font>
    <font>
      <vertAlign val="subscript"/>
      <sz val="10"/>
      <color theme="0" tint="-0.34998626667073579"/>
      <name val="Arial"/>
      <family val="2"/>
    </font>
    <font>
      <vertAlign val="subscript"/>
      <sz val="10"/>
      <color rgb="FF002060"/>
      <name val="Arial"/>
      <family val="2"/>
    </font>
    <font>
      <sz val="18"/>
      <color theme="0" tint="-0.34998626667073579"/>
      <name val="PT Serif"/>
    </font>
    <font>
      <b/>
      <i/>
      <sz val="10"/>
      <color rgb="FFFF0000"/>
      <name val="Arial"/>
      <family val="2"/>
    </font>
    <font>
      <b/>
      <i/>
      <sz val="10"/>
      <color rgb="FF00B050"/>
      <name val="Arial"/>
      <family val="2"/>
    </font>
    <font>
      <b/>
      <i/>
      <sz val="10"/>
      <color theme="0" tint="-0.34998626667073579"/>
      <name val="Arial"/>
      <family val="2"/>
    </font>
    <font>
      <b/>
      <i/>
      <sz val="10"/>
      <color rgb="FF002060"/>
      <name val="Arial"/>
      <family val="2"/>
    </font>
    <font>
      <b/>
      <i/>
      <sz val="10"/>
      <color theme="5"/>
      <name val="Arial"/>
      <family val="2"/>
    </font>
    <font>
      <vertAlign val="subscript"/>
      <sz val="10"/>
      <color indexed="29"/>
      <name val="Arial"/>
      <family val="2"/>
    </font>
    <font>
      <vertAlign val="subscript"/>
      <sz val="10"/>
      <color indexed="8"/>
      <name val="Arial"/>
      <family val="2"/>
    </font>
    <font>
      <vertAlign val="subscript"/>
      <sz val="18"/>
      <color indexed="24"/>
      <name val="Horoscope2000"/>
    </font>
    <font>
      <b/>
      <sz val="9"/>
      <color indexed="10"/>
      <name val="Arial"/>
      <family val="2"/>
    </font>
    <font>
      <b/>
      <i/>
      <vertAlign val="subscript"/>
      <sz val="14"/>
      <color theme="0" tint="-0.34998626667073579"/>
      <name val="Arial"/>
      <family val="2"/>
    </font>
    <font>
      <sz val="10"/>
      <color theme="4" tint="0.39997558519241921"/>
      <name val="Arial"/>
      <family val="2"/>
    </font>
    <font>
      <sz val="10"/>
      <color theme="0" tint="-0.14999847407452621"/>
      <name val="Arial"/>
      <family val="2"/>
    </font>
    <font>
      <sz val="12"/>
      <color theme="0" tint="-0.34998626667073579"/>
      <name val="Horoscope2000"/>
    </font>
    <font>
      <sz val="9"/>
      <color indexed="61"/>
      <name val="Arial"/>
      <family val="2"/>
    </font>
    <font>
      <i/>
      <sz val="9"/>
      <color indexed="61"/>
      <name val="Arial"/>
      <family val="2"/>
    </font>
    <font>
      <i/>
      <sz val="10"/>
      <color rgb="FFFF0000"/>
      <name val="Arial"/>
      <family val="2"/>
    </font>
    <font>
      <i/>
      <sz val="10"/>
      <color indexed="27"/>
      <name val="Arial"/>
      <family val="2"/>
    </font>
    <font>
      <b/>
      <sz val="10"/>
      <color indexed="29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indexed="49"/>
      <name val="Arial"/>
      <family val="2"/>
    </font>
    <font>
      <i/>
      <sz val="10"/>
      <color theme="0" tint="-0.499984740745262"/>
      <name val="Arial"/>
      <family val="2"/>
    </font>
    <font>
      <i/>
      <sz val="8"/>
      <color theme="0" tint="-0.34998626667073579"/>
      <name val="Arial"/>
      <family val="2"/>
    </font>
    <font>
      <vertAlign val="superscript"/>
      <sz val="9"/>
      <color indexed="10"/>
      <name val="Arial"/>
      <family val="2"/>
    </font>
    <font>
      <i/>
      <sz val="10"/>
      <color rgb="FFFFC000"/>
      <name val="Arial"/>
      <family val="2"/>
    </font>
    <font>
      <sz val="18"/>
      <color rgb="FFC0C0C0"/>
      <name val="Horoscope2000"/>
    </font>
    <font>
      <b/>
      <sz val="10"/>
      <color rgb="FFCC99FF"/>
      <name val="Arial"/>
      <family val="2"/>
    </font>
    <font>
      <vertAlign val="superscript"/>
      <sz val="11"/>
      <color indexed="23"/>
      <name val="Astronomic Signs St"/>
    </font>
    <font>
      <vertAlign val="superscript"/>
      <sz val="12"/>
      <color indexed="23"/>
      <name val="Astronomic Signs St"/>
    </font>
    <font>
      <i/>
      <sz val="12"/>
      <color indexed="60"/>
      <name val="Arial"/>
      <family val="2"/>
    </font>
    <font>
      <i/>
      <sz val="12"/>
      <color indexed="32"/>
      <name val="Arial"/>
      <family val="2"/>
    </font>
    <font>
      <i/>
      <sz val="12"/>
      <color indexed="29"/>
      <name val="Arial"/>
      <family val="2"/>
    </font>
    <font>
      <sz val="18"/>
      <color rgb="FF0432FF"/>
      <name val="Horoscope2000"/>
    </font>
    <font>
      <sz val="8"/>
      <color rgb="FF00B050"/>
      <name val="Arial"/>
      <family val="2"/>
    </font>
    <font>
      <sz val="8"/>
      <color rgb="FFFF8CFB"/>
      <name val="Arial"/>
      <family val="2"/>
    </font>
    <font>
      <sz val="8"/>
      <color theme="7" tint="-0.249977111117893"/>
      <name val="Arial"/>
      <family val="2"/>
    </font>
    <font>
      <sz val="8"/>
      <color theme="0" tint="-0.499984740745262"/>
      <name val="Arial"/>
      <family val="2"/>
    </font>
    <font>
      <sz val="8"/>
      <color rgb="FF0432FF"/>
      <name val="Arial"/>
      <family val="2"/>
    </font>
    <font>
      <sz val="8"/>
      <color rgb="FF002060"/>
      <name val="Arial"/>
      <family val="2"/>
    </font>
    <font>
      <sz val="8"/>
      <color rgb="FF9437FF"/>
      <name val="Arial"/>
      <family val="2"/>
    </font>
    <font>
      <sz val="8"/>
      <color rgb="FFFF0000"/>
      <name val="Arial"/>
      <family val="2"/>
    </font>
    <font>
      <sz val="8"/>
      <color theme="5"/>
      <name val="Arial"/>
      <family val="2"/>
    </font>
    <font>
      <vertAlign val="subscript"/>
      <sz val="18"/>
      <color rgb="FF0432FF"/>
      <name val="Horoscope2000"/>
    </font>
    <font>
      <vertAlign val="subscript"/>
      <sz val="10"/>
      <color rgb="FF0432FF"/>
      <name val="Arial"/>
      <family val="2"/>
    </font>
    <font>
      <vertAlign val="subscript"/>
      <sz val="18"/>
      <color rgb="FF941100"/>
      <name val="Horoscope2000"/>
    </font>
    <font>
      <vertAlign val="subscript"/>
      <sz val="10"/>
      <color rgb="FF941100"/>
      <name val="Arial"/>
      <family val="2"/>
    </font>
    <font>
      <sz val="18"/>
      <color theme="0" tint="-0.499984740745262"/>
      <name val="Horoscope2000"/>
    </font>
    <font>
      <vertAlign val="subscript"/>
      <sz val="18"/>
      <color theme="0" tint="-0.499984740745262"/>
      <name val="Horoscope2000"/>
    </font>
    <font>
      <vertAlign val="subscript"/>
      <sz val="10"/>
      <color theme="0" tint="-0.499984740745262"/>
      <name val="Arial"/>
      <family val="2"/>
    </font>
    <font>
      <b/>
      <i/>
      <sz val="10"/>
      <color rgb="FF0432FF"/>
      <name val="Arial"/>
      <family val="2"/>
    </font>
    <font>
      <i/>
      <sz val="18"/>
      <color indexed="27"/>
      <name val="Horoscope2000"/>
    </font>
    <font>
      <i/>
      <sz val="14"/>
      <color indexed="23"/>
      <name val="Astronomic Signs St"/>
    </font>
    <font>
      <i/>
      <vertAlign val="subscript"/>
      <sz val="18"/>
      <color theme="7" tint="-0.249977111117893"/>
      <name val="Horoscope2000"/>
    </font>
    <font>
      <i/>
      <sz val="18"/>
      <color theme="0" tint="-0.34998626667073579"/>
      <name val="Horoscope2000"/>
    </font>
    <font>
      <i/>
      <vertAlign val="subscript"/>
      <sz val="18"/>
      <color theme="0" tint="-0.34998626667073579"/>
      <name val="Horoscope2000"/>
    </font>
    <font>
      <i/>
      <sz val="10"/>
      <color theme="4" tint="0.39997558519241921"/>
      <name val="Arial"/>
      <family val="2"/>
    </font>
    <font>
      <sz val="18"/>
      <color theme="7" tint="0.39997558519241921"/>
      <name val="Astronomic Signs St"/>
    </font>
    <font>
      <sz val="16"/>
      <color theme="7" tint="0.39997558519241921"/>
      <name val="Astronomic Signs St"/>
    </font>
    <font>
      <sz val="16"/>
      <color theme="7" tint="0.39997558519241921"/>
      <name val="Horoscope2000"/>
    </font>
    <font>
      <vertAlign val="superscript"/>
      <sz val="16"/>
      <color theme="0" tint="-0.499984740745262"/>
      <name val="Horoscope2000"/>
    </font>
    <font>
      <sz val="16"/>
      <color indexed="54"/>
      <name val="Horoscope2000"/>
    </font>
    <font>
      <sz val="16"/>
      <color rgb="FF00B050"/>
      <name val="Horoscope2000"/>
    </font>
    <font>
      <sz val="14"/>
      <color indexed="60"/>
      <name val="Horoscope2000"/>
    </font>
    <font>
      <sz val="14"/>
      <color theme="7" tint="0.39997558519241921"/>
      <name val="Horoscope2000"/>
    </font>
    <font>
      <sz val="14"/>
      <color rgb="FF941100"/>
      <name val="Horoscope2000"/>
    </font>
    <font>
      <sz val="16"/>
      <color theme="0" tint="-0.34998626667073579"/>
      <name val="Horoscope2000"/>
    </font>
    <font>
      <sz val="14"/>
      <color theme="7" tint="0.39997558519241921"/>
      <name val="Astronomic Signs St"/>
    </font>
    <font>
      <sz val="10"/>
      <color indexed="45"/>
      <name val="Arial"/>
      <family val="2"/>
    </font>
    <font>
      <b/>
      <i/>
      <sz val="10"/>
      <color indexed="45"/>
      <name val="Arial"/>
      <family val="2"/>
    </font>
    <font>
      <b/>
      <sz val="10"/>
      <color theme="0"/>
      <name val="Arial"/>
      <family val="2"/>
    </font>
    <font>
      <b/>
      <i/>
      <sz val="10"/>
      <color theme="0" tint="-0.499984740745262"/>
      <name val="Arial"/>
      <family val="2"/>
    </font>
    <font>
      <b/>
      <i/>
      <sz val="10"/>
      <color theme="7" tint="-0.249977111117893"/>
      <name val="Arial"/>
      <family val="2"/>
    </font>
    <font>
      <sz val="18"/>
      <color theme="7" tint="0.39997558519241921"/>
      <name val="Horoscope2000"/>
    </font>
    <font>
      <i/>
      <sz val="9"/>
      <color rgb="FF767171"/>
      <name val="Arial"/>
      <family val="2"/>
    </font>
    <font>
      <sz val="10"/>
      <name val="Arial"/>
      <family val="2"/>
    </font>
    <font>
      <vertAlign val="superscript"/>
      <sz val="14"/>
      <color theme="7" tint="0.39997558519241921"/>
      <name val="Astronomic Signs St"/>
    </font>
    <font>
      <i/>
      <sz val="12"/>
      <color indexed="45"/>
      <name val="Arial"/>
      <family val="2"/>
    </font>
    <font>
      <b/>
      <i/>
      <sz val="10"/>
      <color theme="0"/>
      <name val="Arial"/>
      <family val="2"/>
    </font>
    <font>
      <i/>
      <sz val="12"/>
      <color rgb="FF002060"/>
      <name val="Arial"/>
      <family val="2"/>
    </font>
    <font>
      <i/>
      <sz val="12"/>
      <color rgb="FFFF8CFB"/>
      <name val="Arial"/>
      <family val="2"/>
    </font>
    <font>
      <i/>
      <sz val="12"/>
      <color theme="7" tint="-0.249977111117893"/>
      <name val="Arial"/>
      <family val="2"/>
    </font>
    <font>
      <i/>
      <sz val="12"/>
      <color rgb="FF00B050"/>
      <name val="Arial"/>
      <family val="2"/>
    </font>
    <font>
      <i/>
      <sz val="12"/>
      <color rgb="FFFF0000"/>
      <name val="Arial"/>
      <family val="2"/>
    </font>
    <font>
      <i/>
      <sz val="12"/>
      <color rgb="FF0432FF"/>
      <name val="Arial"/>
      <family val="2"/>
    </font>
    <font>
      <i/>
      <sz val="12"/>
      <color theme="0" tint="-0.499984740745262"/>
      <name val="Arial"/>
      <family val="2"/>
    </font>
    <font>
      <vertAlign val="superscript"/>
      <sz val="6"/>
      <color indexed="10"/>
      <name val="Arial"/>
      <family val="2"/>
    </font>
    <font>
      <sz val="10"/>
      <color rgb="FF000000"/>
      <name val="Arial"/>
      <family val="2"/>
    </font>
    <font>
      <b/>
      <sz val="10"/>
      <color rgb="FF99CCFF"/>
      <name val="Arial"/>
      <family val="2"/>
    </font>
    <font>
      <sz val="18"/>
      <color indexed="23"/>
      <name val="Astronomic Signs St"/>
    </font>
    <font>
      <sz val="18"/>
      <color rgb="FFFFD966"/>
      <name val="Astronomic Signs St"/>
    </font>
  </fonts>
  <fills count="1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31"/>
        <bgColor auto="1"/>
      </patternFill>
    </fill>
    <fill>
      <patternFill patternType="solid">
        <fgColor indexed="34"/>
        <bgColor auto="1"/>
      </patternFill>
    </fill>
    <fill>
      <patternFill patternType="solid">
        <fgColor indexed="49"/>
        <bgColor auto="1"/>
      </patternFill>
    </fill>
    <fill>
      <patternFill patternType="solid">
        <fgColor indexed="61"/>
        <bgColor auto="1"/>
      </patternFill>
    </fill>
    <fill>
      <patternFill patternType="solid">
        <fgColor rgb="FFC9C9C9"/>
        <bgColor auto="1"/>
      </patternFill>
    </fill>
    <fill>
      <patternFill patternType="solid">
        <fgColor rgb="FF7D7D7F"/>
        <bgColor auto="1"/>
      </patternFill>
    </fill>
    <fill>
      <patternFill patternType="solid">
        <fgColor indexed="13"/>
        <bgColor auto="1"/>
      </patternFill>
    </fill>
    <fill>
      <patternFill patternType="solid">
        <fgColor rgb="FFFFFB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AF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</fills>
  <borders count="202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8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9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indexed="59"/>
      </bottom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hair">
        <color indexed="59"/>
      </right>
      <top style="thin">
        <color indexed="59"/>
      </top>
      <bottom style="thin">
        <color indexed="8"/>
      </bottom>
      <diagonal/>
    </border>
    <border>
      <left style="hair">
        <color indexed="59"/>
      </left>
      <right style="hair">
        <color indexed="59"/>
      </right>
      <top style="thin">
        <color indexed="59"/>
      </top>
      <bottom style="thin">
        <color indexed="8"/>
      </bottom>
      <diagonal/>
    </border>
    <border>
      <left style="hair">
        <color indexed="59"/>
      </left>
      <right style="thin">
        <color indexed="59"/>
      </right>
      <top style="thin">
        <color indexed="59"/>
      </top>
      <bottom style="thin">
        <color indexed="8"/>
      </bottom>
      <diagonal/>
    </border>
    <border>
      <left style="thin">
        <color indexed="59"/>
      </left>
      <right/>
      <top/>
      <bottom/>
      <diagonal/>
    </border>
    <border>
      <left/>
      <right style="hair">
        <color indexed="59"/>
      </right>
      <top/>
      <bottom style="thin">
        <color indexed="8"/>
      </bottom>
      <diagonal/>
    </border>
    <border>
      <left style="hair">
        <color indexed="59"/>
      </left>
      <right/>
      <top/>
      <bottom style="thin">
        <color indexed="8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/>
      <top/>
      <bottom style="hair">
        <color indexed="34"/>
      </bottom>
      <diagonal/>
    </border>
    <border>
      <left style="thin">
        <color indexed="8"/>
      </left>
      <right style="hair">
        <color indexed="62"/>
      </right>
      <top style="thin">
        <color indexed="8"/>
      </top>
      <bottom style="hair">
        <color indexed="62"/>
      </bottom>
      <diagonal/>
    </border>
    <border>
      <left style="hair">
        <color indexed="62"/>
      </left>
      <right style="hair">
        <color indexed="62"/>
      </right>
      <top style="thin">
        <color indexed="8"/>
      </top>
      <bottom style="hair">
        <color indexed="62"/>
      </bottom>
      <diagonal/>
    </border>
    <border>
      <left style="hair">
        <color indexed="62"/>
      </left>
      <right style="thin">
        <color indexed="8"/>
      </right>
      <top style="thin">
        <color indexed="8"/>
      </top>
      <bottom style="hair">
        <color indexed="62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63"/>
      </right>
      <top style="thin">
        <color indexed="8"/>
      </top>
      <bottom style="hair">
        <color indexed="62"/>
      </bottom>
      <diagonal/>
    </border>
    <border>
      <left/>
      <right style="hair">
        <color indexed="34"/>
      </right>
      <top/>
      <bottom/>
      <diagonal/>
    </border>
    <border>
      <left style="hair">
        <color indexed="34"/>
      </left>
      <right style="hair">
        <color indexed="34"/>
      </right>
      <top style="hair">
        <color indexed="34"/>
      </top>
      <bottom style="hair">
        <color indexed="34"/>
      </bottom>
      <diagonal/>
    </border>
    <border>
      <left style="hair">
        <color indexed="34"/>
      </left>
      <right/>
      <top/>
      <bottom/>
      <diagonal/>
    </border>
    <border>
      <left style="thin">
        <color indexed="8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hair">
        <color indexed="62"/>
      </left>
      <right style="thin">
        <color indexed="8"/>
      </right>
      <top style="hair">
        <color indexed="62"/>
      </top>
      <bottom style="hair">
        <color indexed="62"/>
      </bottom>
      <diagonal/>
    </border>
    <border>
      <left style="hair">
        <color indexed="34"/>
      </left>
      <right style="hair">
        <color indexed="34"/>
      </right>
      <top style="hair">
        <color indexed="34"/>
      </top>
      <bottom/>
      <diagonal/>
    </border>
    <border>
      <left style="hair">
        <color indexed="34"/>
      </left>
      <right style="hair">
        <color indexed="34"/>
      </right>
      <top/>
      <bottom/>
      <diagonal/>
    </border>
    <border>
      <left style="hair">
        <color indexed="34"/>
      </left>
      <right style="hair">
        <color indexed="34"/>
      </right>
      <top/>
      <bottom style="hair">
        <color indexed="34"/>
      </bottom>
      <diagonal/>
    </border>
    <border>
      <left style="thin">
        <color indexed="8"/>
      </left>
      <right style="hair">
        <color indexed="62"/>
      </right>
      <top style="hair">
        <color indexed="62"/>
      </top>
      <bottom style="thin">
        <color indexed="8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thin">
        <color indexed="8"/>
      </bottom>
      <diagonal/>
    </border>
    <border>
      <left style="hair">
        <color indexed="62"/>
      </left>
      <right style="thin">
        <color indexed="8"/>
      </right>
      <top style="hair">
        <color indexed="62"/>
      </top>
      <bottom style="thin">
        <color indexed="8"/>
      </bottom>
      <diagonal/>
    </border>
    <border>
      <left/>
      <right/>
      <top style="hair">
        <color indexed="34"/>
      </top>
      <bottom/>
      <diagonal/>
    </border>
    <border>
      <left/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thin">
        <color indexed="8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8"/>
      </right>
      <top style="hair">
        <color indexed="63"/>
      </top>
      <bottom style="hair">
        <color indexed="63"/>
      </bottom>
      <diagonal/>
    </border>
    <border>
      <left style="thin">
        <color indexed="8"/>
      </left>
      <right style="hair">
        <color indexed="63"/>
      </right>
      <top style="hair">
        <color indexed="63"/>
      </top>
      <bottom style="thin">
        <color indexed="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9"/>
      </right>
      <top/>
      <bottom/>
      <diagonal/>
    </border>
    <border>
      <left style="thin">
        <color indexed="8"/>
      </left>
      <right/>
      <top/>
      <bottom style="hair">
        <color indexed="34"/>
      </bottom>
      <diagonal/>
    </border>
    <border>
      <left style="thin">
        <color indexed="8"/>
      </left>
      <right/>
      <top style="hair">
        <color indexed="34"/>
      </top>
      <bottom style="hair">
        <color indexed="34"/>
      </bottom>
      <diagonal/>
    </border>
    <border>
      <left style="thin">
        <color indexed="8"/>
      </left>
      <right/>
      <top style="hair">
        <color indexed="34"/>
      </top>
      <bottom style="hair">
        <color indexed="63"/>
      </bottom>
      <diagonal/>
    </border>
    <border>
      <left/>
      <right/>
      <top/>
      <bottom style="hair">
        <color indexed="62"/>
      </bottom>
      <diagonal/>
    </border>
    <border>
      <left/>
      <right style="thin">
        <color indexed="8"/>
      </right>
      <top/>
      <bottom style="hair">
        <color indexed="63"/>
      </bottom>
      <diagonal/>
    </border>
    <border>
      <left style="thin">
        <color indexed="8"/>
      </left>
      <right style="hair">
        <color indexed="62"/>
      </right>
      <top style="hair">
        <color indexed="63"/>
      </top>
      <bottom style="hair">
        <color indexed="63"/>
      </bottom>
      <diagonal/>
    </border>
    <border>
      <left style="hair">
        <color indexed="62"/>
      </left>
      <right style="hair">
        <color indexed="63"/>
      </right>
      <top style="hair">
        <color indexed="62"/>
      </top>
      <bottom style="hair">
        <color indexed="62"/>
      </bottom>
      <diagonal/>
    </border>
    <border>
      <left style="thin">
        <color indexed="8"/>
      </left>
      <right style="thin">
        <color indexed="8"/>
      </right>
      <top style="hair">
        <color indexed="63"/>
      </top>
      <bottom/>
      <diagonal/>
    </border>
    <border>
      <left style="thin">
        <color indexed="8"/>
      </left>
      <right style="thin">
        <color indexed="8"/>
      </right>
      <top style="hair">
        <color indexed="62"/>
      </top>
      <bottom/>
      <diagonal/>
    </border>
    <border>
      <left style="thin">
        <color indexed="8"/>
      </left>
      <right/>
      <top/>
      <bottom style="hair">
        <color indexed="63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9"/>
      </top>
      <bottom/>
      <diagonal/>
    </border>
    <border>
      <left style="thin">
        <color indexed="8"/>
      </left>
      <right/>
      <top style="hair">
        <color indexed="62"/>
      </top>
      <bottom/>
      <diagonal/>
    </border>
    <border>
      <left/>
      <right style="thin">
        <color indexed="8"/>
      </right>
      <top style="hair">
        <color indexed="63"/>
      </top>
      <bottom/>
      <diagonal/>
    </border>
    <border>
      <left/>
      <right/>
      <top style="thin">
        <color indexed="9"/>
      </top>
      <bottom style="thin">
        <color indexed="63"/>
      </bottom>
      <diagonal/>
    </border>
    <border>
      <left style="thin">
        <color indexed="8"/>
      </left>
      <right style="hair">
        <color indexed="34"/>
      </right>
      <top style="thin">
        <color indexed="8"/>
      </top>
      <bottom style="thin">
        <color indexed="8"/>
      </bottom>
      <diagonal/>
    </border>
    <border>
      <left style="hair">
        <color indexed="34"/>
      </left>
      <right style="hair">
        <color indexed="34"/>
      </right>
      <top style="thin">
        <color indexed="8"/>
      </top>
      <bottom style="thin">
        <color indexed="62"/>
      </bottom>
      <diagonal/>
    </border>
    <border>
      <left style="hair">
        <color indexed="34"/>
      </left>
      <right style="thin">
        <color indexed="8"/>
      </right>
      <top style="thin">
        <color indexed="8"/>
      </top>
      <bottom style="thin">
        <color indexed="62"/>
      </bottom>
      <diagonal/>
    </border>
    <border>
      <left style="thin">
        <color indexed="8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2"/>
      </right>
      <top style="thin">
        <color indexed="8"/>
      </top>
      <bottom style="thin">
        <color indexed="8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8"/>
      </right>
      <top style="thin">
        <color indexed="62"/>
      </top>
      <bottom style="hair">
        <color indexed="63"/>
      </bottom>
      <diagonal/>
    </border>
    <border>
      <left style="thin">
        <color indexed="8"/>
      </left>
      <right style="thin">
        <color indexed="62"/>
      </right>
      <top style="thin">
        <color indexed="8"/>
      </top>
      <bottom style="hair">
        <color indexed="34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3"/>
      </bottom>
      <diagonal/>
    </border>
    <border>
      <left style="thin">
        <color indexed="62"/>
      </left>
      <right style="thin">
        <color indexed="63"/>
      </right>
      <top style="thin">
        <color indexed="62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63"/>
      </right>
      <top style="hair">
        <color indexed="34"/>
      </top>
      <bottom style="hair">
        <color indexed="34"/>
      </bottom>
      <diagonal/>
    </border>
    <border>
      <left style="thin">
        <color indexed="63"/>
      </left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63"/>
      </right>
      <top style="hair">
        <color indexed="34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8"/>
      </bottom>
      <diagonal/>
    </border>
    <border>
      <left style="thin">
        <color indexed="63"/>
      </left>
      <right style="thin">
        <color indexed="8"/>
      </right>
      <top style="thin">
        <color indexed="63"/>
      </top>
      <bottom style="thin">
        <color indexed="8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hair">
        <color indexed="34"/>
      </bottom>
      <diagonal/>
    </border>
    <border>
      <left style="thin">
        <color indexed="62"/>
      </left>
      <right style="thin">
        <color indexed="8"/>
      </right>
      <top style="thin">
        <color indexed="62"/>
      </top>
      <bottom style="hair">
        <color indexed="34"/>
      </bottom>
      <diagonal/>
    </border>
    <border>
      <left style="thin">
        <color indexed="62"/>
      </left>
      <right style="hair">
        <color indexed="34"/>
      </right>
      <top style="thin">
        <color indexed="62"/>
      </top>
      <bottom style="thin">
        <color indexed="63"/>
      </bottom>
      <diagonal/>
    </border>
    <border>
      <left style="hair">
        <color indexed="34"/>
      </left>
      <right style="thin">
        <color indexed="62"/>
      </right>
      <top style="hair">
        <color indexed="34"/>
      </top>
      <bottom style="thin">
        <color indexed="63"/>
      </bottom>
      <diagonal/>
    </border>
    <border>
      <left style="thin">
        <color indexed="63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hair">
        <color indexed="34"/>
      </bottom>
      <diagonal/>
    </border>
    <border>
      <left style="thin">
        <color indexed="63"/>
      </left>
      <right style="thin">
        <color indexed="8"/>
      </right>
      <top style="thin">
        <color indexed="63"/>
      </top>
      <bottom style="hair">
        <color indexed="34"/>
      </bottom>
      <diagonal/>
    </border>
    <border>
      <left style="thin">
        <color indexed="8"/>
      </left>
      <right style="hair">
        <color indexed="34"/>
      </right>
      <top style="hair">
        <color indexed="34"/>
      </top>
      <bottom style="thin">
        <color indexed="8"/>
      </bottom>
      <diagonal/>
    </border>
    <border>
      <left style="hair">
        <color indexed="34"/>
      </left>
      <right style="hair">
        <color indexed="34"/>
      </right>
      <top style="hair">
        <color indexed="34"/>
      </top>
      <bottom style="thin">
        <color indexed="8"/>
      </bottom>
      <diagonal/>
    </border>
    <border>
      <left style="hair">
        <color indexed="34"/>
      </left>
      <right style="thin">
        <color indexed="8"/>
      </right>
      <top style="hair">
        <color indexed="34"/>
      </top>
      <bottom style="thin">
        <color indexed="8"/>
      </bottom>
      <diagonal/>
    </border>
    <border>
      <left/>
      <right/>
      <top style="thin">
        <color indexed="63"/>
      </top>
      <bottom/>
      <diagonal/>
    </border>
    <border>
      <left style="thin">
        <color indexed="8"/>
      </left>
      <right style="hair">
        <color indexed="62"/>
      </right>
      <top style="thin">
        <color indexed="8"/>
      </top>
      <bottom style="thin">
        <color indexed="8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thin">
        <color indexed="62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34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thin">
        <color indexed="63"/>
      </bottom>
      <diagonal/>
    </border>
    <border>
      <left style="hair">
        <color indexed="62"/>
      </left>
      <right style="thin">
        <color indexed="8"/>
      </right>
      <top style="hair">
        <color indexed="62"/>
      </top>
      <bottom style="hair">
        <color indexed="34"/>
      </bottom>
      <diagonal/>
    </border>
    <border>
      <left style="thin">
        <color indexed="8"/>
      </left>
      <right style="thin">
        <color indexed="62"/>
      </right>
      <top style="thin">
        <color indexed="8"/>
      </top>
      <bottom style="hair">
        <color indexed="62"/>
      </bottom>
      <diagonal/>
    </border>
    <border>
      <left style="thin">
        <color indexed="62"/>
      </left>
      <right style="hair">
        <color indexed="34"/>
      </right>
      <top style="thin">
        <color indexed="62"/>
      </top>
      <bottom style="hair">
        <color indexed="62"/>
      </bottom>
      <diagonal/>
    </border>
    <border>
      <left style="hair">
        <color indexed="34"/>
      </left>
      <right style="thin">
        <color indexed="62"/>
      </right>
      <top style="hair">
        <color indexed="34"/>
      </top>
      <bottom style="hair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hair">
        <color indexed="62"/>
      </bottom>
      <diagonal/>
    </border>
    <border>
      <left style="thin">
        <color indexed="62"/>
      </left>
      <right style="thin">
        <color indexed="63"/>
      </right>
      <top style="thin">
        <color indexed="62"/>
      </top>
      <bottom style="hair">
        <color indexed="62"/>
      </bottom>
      <diagonal/>
    </border>
    <border>
      <left style="hair">
        <color indexed="34"/>
      </left>
      <right style="thin">
        <color indexed="8"/>
      </right>
      <top style="hair">
        <color indexed="34"/>
      </top>
      <bottom style="hair">
        <color indexed="62"/>
      </bottom>
      <diagonal/>
    </border>
    <border>
      <left style="thin">
        <color indexed="8"/>
      </left>
      <right style="hair">
        <color indexed="62"/>
      </right>
      <top style="hair">
        <color indexed="62"/>
      </top>
      <bottom style="hair">
        <color indexed="34"/>
      </bottom>
      <diagonal/>
    </border>
    <border>
      <left style="hair">
        <color indexed="62"/>
      </left>
      <right style="thin">
        <color indexed="8"/>
      </right>
      <top style="hair">
        <color indexed="62"/>
      </top>
      <bottom style="thin">
        <color indexed="63"/>
      </bottom>
      <diagonal/>
    </border>
    <border>
      <left style="thin">
        <color indexed="8"/>
      </left>
      <right style="thin">
        <color indexed="63"/>
      </right>
      <top style="hair">
        <color indexed="34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63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2"/>
      </bottom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3"/>
      </right>
      <top style="thin">
        <color indexed="62"/>
      </top>
      <bottom style="thin">
        <color indexed="62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3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62"/>
      </top>
      <bottom/>
      <diagonal/>
    </border>
    <border>
      <left/>
      <right/>
      <top/>
      <bottom style="thin">
        <color indexed="63"/>
      </bottom>
      <diagonal/>
    </border>
    <border>
      <left style="hair">
        <color indexed="59"/>
      </left>
      <right style="hair">
        <color indexed="59"/>
      </right>
      <top style="thin">
        <color indexed="59"/>
      </top>
      <bottom/>
      <diagonal/>
    </border>
    <border>
      <left style="thin">
        <color indexed="59"/>
      </left>
      <right style="hair">
        <color indexed="59"/>
      </right>
      <top style="thin">
        <color indexed="59"/>
      </top>
      <bottom/>
      <diagonal/>
    </border>
    <border>
      <left style="hair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8"/>
      </left>
      <right style="hair">
        <color indexed="63"/>
      </right>
      <top/>
      <bottom style="hair">
        <color indexed="62"/>
      </bottom>
      <diagonal/>
    </border>
    <border>
      <left style="hair">
        <color indexed="62"/>
      </left>
      <right style="thin">
        <color indexed="8"/>
      </right>
      <top/>
      <bottom style="hair">
        <color indexed="62"/>
      </bottom>
      <diagonal/>
    </border>
    <border>
      <left style="thin">
        <color auto="1"/>
      </left>
      <right/>
      <top style="thin">
        <color auto="1"/>
      </top>
      <bottom style="hair">
        <color indexed="62"/>
      </bottom>
      <diagonal/>
    </border>
    <border>
      <left/>
      <right style="thin">
        <color auto="1"/>
      </right>
      <top style="thin">
        <color auto="1"/>
      </top>
      <bottom style="hair">
        <color indexed="62"/>
      </bottom>
      <diagonal/>
    </border>
    <border>
      <left style="thin">
        <color auto="1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hair">
        <color indexed="62"/>
      </left>
      <right style="thin">
        <color auto="1"/>
      </right>
      <top style="hair">
        <color indexed="62"/>
      </top>
      <bottom style="hair">
        <color indexed="62"/>
      </bottom>
      <diagonal/>
    </border>
    <border>
      <left style="thin">
        <color auto="1"/>
      </left>
      <right style="hair">
        <color indexed="62"/>
      </right>
      <top style="hair">
        <color indexed="62"/>
      </top>
      <bottom style="thin">
        <color auto="1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thin">
        <color auto="1"/>
      </bottom>
      <diagonal/>
    </border>
    <border>
      <left style="hair">
        <color indexed="62"/>
      </left>
      <right style="thin">
        <color auto="1"/>
      </right>
      <top style="hair">
        <color indexed="62"/>
      </top>
      <bottom style="thin">
        <color auto="1"/>
      </bottom>
      <diagonal/>
    </border>
    <border>
      <left style="hair">
        <color theme="0" tint="-0.14996795556505021"/>
      </left>
      <right style="hair">
        <color theme="0" tint="-0.14996795556505021"/>
      </right>
      <top style="thin">
        <color auto="1"/>
      </top>
      <bottom style="hair">
        <color theme="0" tint="-0.14996795556505021"/>
      </bottom>
      <diagonal/>
    </border>
    <border>
      <left style="thin">
        <color indexed="8"/>
      </left>
      <right style="hair">
        <color indexed="62"/>
      </right>
      <top style="hair">
        <color indexed="62"/>
      </top>
      <bottom/>
      <diagonal/>
    </border>
    <border>
      <left style="hair">
        <color indexed="62"/>
      </left>
      <right style="thin">
        <color indexed="8"/>
      </right>
      <top style="hair">
        <color indexed="62"/>
      </top>
      <bottom/>
      <diagonal/>
    </border>
    <border>
      <left style="thin">
        <color auto="1"/>
      </left>
      <right style="hair">
        <color indexed="63"/>
      </right>
      <top style="thin">
        <color auto="1"/>
      </top>
      <bottom style="hair">
        <color indexed="62"/>
      </bottom>
      <diagonal/>
    </border>
    <border>
      <left style="hair">
        <color indexed="62"/>
      </left>
      <right style="thin">
        <color auto="1"/>
      </right>
      <top style="thin">
        <color auto="1"/>
      </top>
      <bottom style="hair">
        <color indexed="62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hair">
        <color indexed="63"/>
      </right>
      <top style="thin">
        <color indexed="63"/>
      </top>
      <bottom/>
      <diagonal/>
    </border>
    <border>
      <left style="hair">
        <color indexed="63"/>
      </left>
      <right style="thin">
        <color indexed="63"/>
      </right>
      <top style="thin">
        <color indexed="63"/>
      </top>
      <bottom/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3743705557422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2"/>
      </left>
      <right/>
      <top/>
      <bottom/>
      <diagonal/>
    </border>
    <border>
      <left style="hair">
        <color theme="0" tint="-0.14996795556505021"/>
      </left>
      <right style="thin">
        <color auto="1"/>
      </right>
      <top style="hair">
        <color theme="0" tint="-0.14996795556505021"/>
      </top>
      <bottom style="hair">
        <color theme="0" tint="-0.14996795556505021"/>
      </bottom>
      <diagonal/>
    </border>
    <border>
      <left/>
      <right style="thin">
        <color indexed="63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auto="1"/>
      </bottom>
      <diagonal/>
    </border>
    <border>
      <left style="thin">
        <color indexed="63"/>
      </left>
      <right/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/>
      <bottom style="thin">
        <color auto="1"/>
      </bottom>
      <diagonal/>
    </border>
    <border>
      <left style="thin">
        <color auto="1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auto="1"/>
      </right>
      <top/>
      <bottom style="hair">
        <color indexed="63"/>
      </bottom>
      <diagonal/>
    </border>
    <border>
      <left style="thin">
        <color auto="1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auto="1"/>
      </right>
      <top style="hair">
        <color indexed="63"/>
      </top>
      <bottom style="hair">
        <color indexed="63"/>
      </bottom>
      <diagonal/>
    </border>
    <border>
      <left style="thin">
        <color auto="1"/>
      </left>
      <right style="hair">
        <color indexed="63"/>
      </right>
      <top style="hair">
        <color indexed="63"/>
      </top>
      <bottom style="thin">
        <color auto="1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thin">
        <color auto="1"/>
      </bottom>
      <diagonal/>
    </border>
    <border>
      <left style="hair">
        <color indexed="63"/>
      </left>
      <right style="thin">
        <color auto="1"/>
      </right>
      <top style="hair">
        <color indexed="63"/>
      </top>
      <bottom style="thin">
        <color auto="1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/>
      <diagonal/>
    </border>
    <border>
      <left style="hair">
        <color theme="0" tint="-0.14993743705557422"/>
      </left>
      <right style="hair">
        <color theme="0" tint="-0.14996795556505021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6795556505021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6795556505021"/>
      </left>
      <right style="thin">
        <color auto="1"/>
      </right>
      <top style="hair">
        <color theme="0" tint="-0.14996795556505021"/>
      </top>
      <bottom style="thin">
        <color auto="1"/>
      </bottom>
      <diagonal/>
    </border>
    <border>
      <left style="hair">
        <color theme="0" tint="-0.14996795556505021"/>
      </left>
      <right style="hair">
        <color theme="0" tint="-0.14996795556505021"/>
      </right>
      <top/>
      <bottom style="hair">
        <color theme="0" tint="-0.14996795556505021"/>
      </bottom>
      <diagonal/>
    </border>
    <border>
      <left style="hair">
        <color theme="0" tint="-0.14996795556505021"/>
      </left>
      <right style="thin">
        <color auto="1"/>
      </right>
      <top/>
      <bottom style="hair">
        <color theme="0" tint="-0.14996795556505021"/>
      </bottom>
      <diagonal/>
    </border>
    <border>
      <left style="thin">
        <color auto="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auto="1"/>
      </left>
      <right style="hair">
        <color theme="0" tint="-0.14996795556505021"/>
      </right>
      <top style="hair">
        <color theme="0" tint="-0.14996795556505021"/>
      </top>
      <bottom style="thin">
        <color auto="1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thin">
        <color auto="1"/>
      </bottom>
      <diagonal/>
    </border>
    <border>
      <left style="thin">
        <color auto="1"/>
      </left>
      <right style="hair">
        <color theme="0" tint="-0.14996795556505021"/>
      </right>
      <top/>
      <bottom style="hair">
        <color theme="0" tint="-0.14996795556505021"/>
      </bottom>
      <diagonal/>
    </border>
  </borders>
  <cellStyleXfs count="60">
    <xf numFmtId="0" fontId="0" fillId="0" borderId="0" applyNumberFormat="0" applyFill="0" applyBorder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40" fillId="0" borderId="8"/>
    <xf numFmtId="9" fontId="637" fillId="0" borderId="0" applyFon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740" fillId="0" borderId="8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  <xf numFmtId="0" fontId="619" fillId="0" borderId="0" applyNumberFormat="0" applyFill="0" applyBorder="0" applyAlignment="0" applyProtection="0"/>
    <xf numFmtId="0" fontId="620" fillId="0" borderId="0" applyNumberFormat="0" applyFill="0" applyBorder="0" applyAlignment="0" applyProtection="0"/>
  </cellStyleXfs>
  <cellXfs count="2931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49" fontId="2" fillId="2" borderId="8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14" fillId="2" borderId="6" xfId="0" applyNumberFormat="1" applyFont="1" applyFill="1" applyBorder="1" applyAlignment="1">
      <alignment horizontal="center" vertical="center"/>
    </xf>
    <xf numFmtId="164" fontId="15" fillId="2" borderId="8" xfId="0" applyNumberFormat="1" applyFont="1" applyFill="1" applyBorder="1" applyAlignment="1">
      <alignment horizontal="center" vertical="center"/>
    </xf>
    <xf numFmtId="0" fontId="0" fillId="0" borderId="13" xfId="0" applyFont="1" applyBorder="1" applyAlignment="1"/>
    <xf numFmtId="0" fontId="0" fillId="0" borderId="8" xfId="0" applyFont="1" applyBorder="1" applyAlignment="1"/>
    <xf numFmtId="0" fontId="8" fillId="2" borderId="8" xfId="0" applyFont="1" applyFill="1" applyBorder="1" applyAlignment="1">
      <alignment horizontal="right" vertical="center"/>
    </xf>
    <xf numFmtId="49" fontId="28" fillId="2" borderId="6" xfId="0" applyNumberFormat="1" applyFont="1" applyFill="1" applyBorder="1" applyAlignment="1">
      <alignment horizontal="center" vertical="center"/>
    </xf>
    <xf numFmtId="166" fontId="15" fillId="2" borderId="8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0" fontId="0" fillId="0" borderId="9" xfId="0" applyFont="1" applyBorder="1" applyAlignment="1"/>
    <xf numFmtId="0" fontId="8" fillId="2" borderId="8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0" borderId="17" xfId="0" applyFont="1" applyBorder="1" applyAlignment="1"/>
    <xf numFmtId="0" fontId="0" fillId="0" borderId="19" xfId="0" applyFont="1" applyBorder="1" applyAlignment="1"/>
    <xf numFmtId="0" fontId="0" fillId="0" borderId="0" xfId="0" applyNumberFormat="1" applyFont="1" applyAlignment="1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49" fontId="41" fillId="2" borderId="8" xfId="0" applyNumberFormat="1" applyFont="1" applyFill="1" applyBorder="1" applyAlignment="1">
      <alignment horizontal="center" vertical="center"/>
    </xf>
    <xf numFmtId="49" fontId="42" fillId="2" borderId="8" xfId="0" applyNumberFormat="1" applyFont="1" applyFill="1" applyBorder="1" applyAlignment="1">
      <alignment horizontal="center" vertical="center"/>
    </xf>
    <xf numFmtId="49" fontId="43" fillId="2" borderId="8" xfId="0" applyNumberFormat="1" applyFont="1" applyFill="1" applyBorder="1" applyAlignment="1">
      <alignment horizontal="center" vertical="center"/>
    </xf>
    <xf numFmtId="49" fontId="44" fillId="2" borderId="8" xfId="0" applyNumberFormat="1" applyFont="1" applyFill="1" applyBorder="1" applyAlignment="1">
      <alignment horizontal="center" vertical="center"/>
    </xf>
    <xf numFmtId="49" fontId="45" fillId="2" borderId="8" xfId="0" applyNumberFormat="1" applyFont="1" applyFill="1" applyBorder="1" applyAlignment="1">
      <alignment horizontal="center" vertical="center"/>
    </xf>
    <xf numFmtId="49" fontId="47" fillId="2" borderId="8" xfId="0" applyNumberFormat="1" applyFont="1" applyFill="1" applyBorder="1" applyAlignment="1">
      <alignment horizontal="center" vertical="center"/>
    </xf>
    <xf numFmtId="49" fontId="48" fillId="2" borderId="8" xfId="0" applyNumberFormat="1" applyFont="1" applyFill="1" applyBorder="1" applyAlignment="1">
      <alignment horizontal="center" vertical="center"/>
    </xf>
    <xf numFmtId="49" fontId="49" fillId="2" borderId="8" xfId="0" applyNumberFormat="1" applyFont="1" applyFill="1" applyBorder="1" applyAlignment="1">
      <alignment horizontal="center" vertical="center"/>
    </xf>
    <xf numFmtId="49" fontId="50" fillId="2" borderId="8" xfId="0" applyNumberFormat="1" applyFont="1" applyFill="1" applyBorder="1" applyAlignment="1">
      <alignment horizontal="center" vertical="center"/>
    </xf>
    <xf numFmtId="49" fontId="51" fillId="2" borderId="8" xfId="0" applyNumberFormat="1" applyFont="1" applyFill="1" applyBorder="1" applyAlignment="1">
      <alignment horizontal="center" vertical="center"/>
    </xf>
    <xf numFmtId="49" fontId="52" fillId="2" borderId="8" xfId="0" applyNumberFormat="1" applyFont="1" applyFill="1" applyBorder="1" applyAlignment="1">
      <alignment horizontal="center" vertical="center"/>
    </xf>
    <xf numFmtId="0" fontId="0" fillId="2" borderId="8" xfId="0" applyFont="1" applyFill="1" applyBorder="1" applyAlignment="1"/>
    <xf numFmtId="0" fontId="0" fillId="2" borderId="7" xfId="0" applyFont="1" applyFill="1" applyBorder="1" applyAlignment="1"/>
    <xf numFmtId="49" fontId="53" fillId="2" borderId="8" xfId="0" applyNumberFormat="1" applyFont="1" applyFill="1" applyBorder="1" applyAlignment="1">
      <alignment horizontal="center" vertical="center"/>
    </xf>
    <xf numFmtId="2" fontId="54" fillId="2" borderId="8" xfId="0" applyNumberFormat="1" applyFont="1" applyFill="1" applyBorder="1" applyAlignment="1">
      <alignment horizontal="center" vertical="center"/>
    </xf>
    <xf numFmtId="2" fontId="55" fillId="2" borderId="8" xfId="0" applyNumberFormat="1" applyFont="1" applyFill="1" applyBorder="1" applyAlignment="1">
      <alignment horizontal="center" vertical="center"/>
    </xf>
    <xf numFmtId="2" fontId="56" fillId="2" borderId="8" xfId="0" applyNumberFormat="1" applyFont="1" applyFill="1" applyBorder="1" applyAlignment="1">
      <alignment horizontal="center" vertical="center"/>
    </xf>
    <xf numFmtId="2" fontId="57" fillId="2" borderId="8" xfId="0" applyNumberFormat="1" applyFont="1" applyFill="1" applyBorder="1" applyAlignment="1">
      <alignment horizontal="center" vertical="center"/>
    </xf>
    <xf numFmtId="2" fontId="58" fillId="2" borderId="8" xfId="0" applyNumberFormat="1" applyFont="1" applyFill="1" applyBorder="1" applyAlignment="1">
      <alignment horizontal="center" vertical="center"/>
    </xf>
    <xf numFmtId="2" fontId="59" fillId="2" borderId="8" xfId="0" applyNumberFormat="1" applyFont="1" applyFill="1" applyBorder="1" applyAlignment="1">
      <alignment horizontal="center" vertical="center"/>
    </xf>
    <xf numFmtId="2" fontId="60" fillId="2" borderId="8" xfId="0" applyNumberFormat="1" applyFont="1" applyFill="1" applyBorder="1" applyAlignment="1">
      <alignment horizontal="center" vertical="center"/>
    </xf>
    <xf numFmtId="2" fontId="61" fillId="2" borderId="8" xfId="0" applyNumberFormat="1" applyFont="1" applyFill="1" applyBorder="1" applyAlignment="1">
      <alignment horizontal="center" vertical="center"/>
    </xf>
    <xf numFmtId="2" fontId="62" fillId="2" borderId="8" xfId="0" applyNumberFormat="1" applyFont="1" applyFill="1" applyBorder="1" applyAlignment="1">
      <alignment horizontal="center" vertical="center"/>
    </xf>
    <xf numFmtId="2" fontId="63" fillId="2" borderId="8" xfId="0" applyNumberFormat="1" applyFont="1" applyFill="1" applyBorder="1" applyAlignment="1">
      <alignment horizontal="center" vertical="center"/>
    </xf>
    <xf numFmtId="2" fontId="64" fillId="2" borderId="8" xfId="0" applyNumberFormat="1" applyFont="1" applyFill="1" applyBorder="1" applyAlignment="1">
      <alignment horizontal="center" vertical="center"/>
    </xf>
    <xf numFmtId="2" fontId="65" fillId="2" borderId="8" xfId="0" applyNumberFormat="1" applyFont="1" applyFill="1" applyBorder="1" applyAlignment="1">
      <alignment horizontal="center" vertical="center"/>
    </xf>
    <xf numFmtId="0" fontId="66" fillId="5" borderId="8" xfId="0" applyFont="1" applyFill="1" applyBorder="1" applyAlignment="1">
      <alignment horizontal="center" vertical="center"/>
    </xf>
    <xf numFmtId="0" fontId="67" fillId="2" borderId="8" xfId="0" applyNumberFormat="1" applyFont="1" applyFill="1" applyBorder="1" applyAlignment="1">
      <alignment horizontal="center" vertical="center"/>
    </xf>
    <xf numFmtId="0" fontId="68" fillId="2" borderId="8" xfId="0" applyNumberFormat="1" applyFont="1" applyFill="1" applyBorder="1" applyAlignment="1">
      <alignment horizontal="center" vertical="center"/>
    </xf>
    <xf numFmtId="0" fontId="69" fillId="2" borderId="8" xfId="0" applyNumberFormat="1" applyFont="1" applyFill="1" applyBorder="1" applyAlignment="1">
      <alignment horizontal="center" vertical="center"/>
    </xf>
    <xf numFmtId="0" fontId="70" fillId="2" borderId="8" xfId="0" applyNumberFormat="1" applyFont="1" applyFill="1" applyBorder="1" applyAlignment="1">
      <alignment horizontal="center" vertical="center"/>
    </xf>
    <xf numFmtId="0" fontId="71" fillId="2" borderId="8" xfId="0" applyNumberFormat="1" applyFont="1" applyFill="1" applyBorder="1" applyAlignment="1">
      <alignment horizontal="center" vertical="center"/>
    </xf>
    <xf numFmtId="0" fontId="72" fillId="2" borderId="8" xfId="0" applyNumberFormat="1" applyFont="1" applyFill="1" applyBorder="1" applyAlignment="1">
      <alignment horizontal="center" vertical="center"/>
    </xf>
    <xf numFmtId="0" fontId="73" fillId="2" borderId="8" xfId="0" applyNumberFormat="1" applyFont="1" applyFill="1" applyBorder="1" applyAlignment="1">
      <alignment horizontal="center" vertical="center"/>
    </xf>
    <xf numFmtId="0" fontId="74" fillId="2" borderId="8" xfId="0" applyNumberFormat="1" applyFont="1" applyFill="1" applyBorder="1" applyAlignment="1">
      <alignment horizontal="center" vertical="center"/>
    </xf>
    <xf numFmtId="0" fontId="75" fillId="2" borderId="8" xfId="0" applyNumberFormat="1" applyFont="1" applyFill="1" applyBorder="1" applyAlignment="1">
      <alignment horizontal="center" vertical="center"/>
    </xf>
    <xf numFmtId="0" fontId="76" fillId="2" borderId="8" xfId="0" applyNumberFormat="1" applyFont="1" applyFill="1" applyBorder="1" applyAlignment="1">
      <alignment horizontal="center" vertical="center"/>
    </xf>
    <xf numFmtId="49" fontId="77" fillId="2" borderId="8" xfId="0" applyNumberFormat="1" applyFont="1" applyFill="1" applyBorder="1" applyAlignment="1">
      <alignment horizontal="center" vertical="center"/>
    </xf>
    <xf numFmtId="0" fontId="78" fillId="2" borderId="8" xfId="0" applyFont="1" applyFill="1" applyBorder="1" applyAlignment="1">
      <alignment horizontal="center" vertical="center"/>
    </xf>
    <xf numFmtId="0" fontId="79" fillId="2" borderId="8" xfId="0" applyFont="1" applyFill="1" applyBorder="1" applyAlignment="1">
      <alignment horizontal="center" vertical="center"/>
    </xf>
    <xf numFmtId="0" fontId="80" fillId="2" borderId="8" xfId="0" applyFont="1" applyFill="1" applyBorder="1" applyAlignment="1">
      <alignment horizontal="center" vertical="center"/>
    </xf>
    <xf numFmtId="0" fontId="81" fillId="2" borderId="8" xfId="0" applyFont="1" applyFill="1" applyBorder="1" applyAlignment="1">
      <alignment horizontal="center" vertical="center"/>
    </xf>
    <xf numFmtId="0" fontId="82" fillId="2" borderId="8" xfId="0" applyFont="1" applyFill="1" applyBorder="1" applyAlignment="1">
      <alignment horizontal="center" vertical="center"/>
    </xf>
    <xf numFmtId="0" fontId="83" fillId="2" borderId="8" xfId="0" applyFont="1" applyFill="1" applyBorder="1" applyAlignment="1">
      <alignment horizontal="center" vertical="center"/>
    </xf>
    <xf numFmtId="0" fontId="84" fillId="2" borderId="8" xfId="0" applyFont="1" applyFill="1" applyBorder="1" applyAlignment="1">
      <alignment horizontal="center" vertical="center"/>
    </xf>
    <xf numFmtId="0" fontId="61" fillId="2" borderId="8" xfId="0" applyFont="1" applyFill="1" applyBorder="1" applyAlignment="1">
      <alignment horizontal="center" vertical="center"/>
    </xf>
    <xf numFmtId="0" fontId="85" fillId="2" borderId="8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2" fontId="87" fillId="2" borderId="8" xfId="0" applyNumberFormat="1" applyFont="1" applyFill="1" applyBorder="1" applyAlignment="1">
      <alignment horizontal="center" vertical="center"/>
    </xf>
    <xf numFmtId="2" fontId="88" fillId="2" borderId="8" xfId="0" applyNumberFormat="1" applyFont="1" applyFill="1" applyBorder="1" applyAlignment="1">
      <alignment horizontal="center" vertical="center"/>
    </xf>
    <xf numFmtId="2" fontId="89" fillId="2" borderId="8" xfId="0" applyNumberFormat="1" applyFont="1" applyFill="1" applyBorder="1" applyAlignment="1">
      <alignment horizontal="center" vertical="center"/>
    </xf>
    <xf numFmtId="2" fontId="90" fillId="2" borderId="8" xfId="0" applyNumberFormat="1" applyFont="1" applyFill="1" applyBorder="1" applyAlignment="1">
      <alignment horizontal="center" vertical="center"/>
    </xf>
    <xf numFmtId="2" fontId="77" fillId="2" borderId="8" xfId="0" applyNumberFormat="1" applyFont="1" applyFill="1" applyBorder="1" applyAlignment="1">
      <alignment horizontal="center" vertical="center"/>
    </xf>
    <xf numFmtId="2" fontId="91" fillId="2" borderId="8" xfId="0" applyNumberFormat="1" applyFont="1" applyFill="1" applyBorder="1" applyAlignment="1">
      <alignment horizontal="center" vertical="center"/>
    </xf>
    <xf numFmtId="2" fontId="92" fillId="2" borderId="8" xfId="0" applyNumberFormat="1" applyFont="1" applyFill="1" applyBorder="1" applyAlignment="1">
      <alignment horizontal="center" vertical="center"/>
    </xf>
    <xf numFmtId="2" fontId="93" fillId="2" borderId="8" xfId="0" applyNumberFormat="1" applyFont="1" applyFill="1" applyBorder="1" applyAlignment="1">
      <alignment horizontal="center" vertical="center"/>
    </xf>
    <xf numFmtId="2" fontId="94" fillId="2" borderId="8" xfId="0" applyNumberFormat="1" applyFont="1" applyFill="1" applyBorder="1" applyAlignment="1">
      <alignment horizontal="center" vertical="center"/>
    </xf>
    <xf numFmtId="49" fontId="95" fillId="2" borderId="8" xfId="0" applyNumberFormat="1" applyFont="1" applyFill="1" applyBorder="1" applyAlignment="1">
      <alignment horizontal="center" vertical="center"/>
    </xf>
    <xf numFmtId="0" fontId="86" fillId="2" borderId="8" xfId="0" applyFont="1" applyFill="1" applyBorder="1" applyAlignment="1">
      <alignment horizontal="center" vertical="center"/>
    </xf>
    <xf numFmtId="2" fontId="96" fillId="2" borderId="8" xfId="0" applyNumberFormat="1" applyFont="1" applyFill="1" applyBorder="1" applyAlignment="1">
      <alignment horizontal="center" vertical="center"/>
    </xf>
    <xf numFmtId="2" fontId="80" fillId="2" borderId="8" xfId="0" applyNumberFormat="1" applyFont="1" applyFill="1" applyBorder="1" applyAlignment="1">
      <alignment horizontal="center" vertical="center"/>
    </xf>
    <xf numFmtId="2" fontId="81" fillId="2" borderId="8" xfId="0" applyNumberFormat="1" applyFont="1" applyFill="1" applyBorder="1" applyAlignment="1">
      <alignment horizontal="center" vertical="center"/>
    </xf>
    <xf numFmtId="2" fontId="82" fillId="2" borderId="8" xfId="0" applyNumberFormat="1" applyFont="1" applyFill="1" applyBorder="1" applyAlignment="1">
      <alignment horizontal="center" vertical="center"/>
    </xf>
    <xf numFmtId="2" fontId="83" fillId="2" borderId="8" xfId="0" applyNumberFormat="1" applyFont="1" applyFill="1" applyBorder="1" applyAlignment="1">
      <alignment horizontal="center" vertical="center"/>
    </xf>
    <xf numFmtId="2" fontId="84" fillId="2" borderId="8" xfId="0" applyNumberFormat="1" applyFont="1" applyFill="1" applyBorder="1" applyAlignment="1">
      <alignment horizontal="center" vertical="center"/>
    </xf>
    <xf numFmtId="2" fontId="85" fillId="2" borderId="8" xfId="0" applyNumberFormat="1" applyFont="1" applyFill="1" applyBorder="1" applyAlignment="1">
      <alignment horizontal="center" vertical="center"/>
    </xf>
    <xf numFmtId="2" fontId="97" fillId="2" borderId="8" xfId="0" applyNumberFormat="1" applyFont="1" applyFill="1" applyBorder="1" applyAlignment="1">
      <alignment horizontal="center" vertical="center"/>
    </xf>
    <xf numFmtId="0" fontId="95" fillId="2" borderId="8" xfId="0" applyFont="1" applyFill="1" applyBorder="1" applyAlignment="1">
      <alignment horizontal="center" vertical="center"/>
    </xf>
    <xf numFmtId="49" fontId="98" fillId="2" borderId="8" xfId="0" applyNumberFormat="1" applyFont="1" applyFill="1" applyBorder="1" applyAlignment="1">
      <alignment horizontal="center" vertical="center"/>
    </xf>
    <xf numFmtId="2" fontId="78" fillId="2" borderId="8" xfId="0" applyNumberFormat="1" applyFont="1" applyFill="1" applyBorder="1" applyAlignment="1">
      <alignment horizontal="center" vertical="center"/>
    </xf>
    <xf numFmtId="49" fontId="99" fillId="2" borderId="8" xfId="0" applyNumberFormat="1" applyFont="1" applyFill="1" applyBorder="1" applyAlignment="1">
      <alignment horizontal="center" vertical="center"/>
    </xf>
    <xf numFmtId="49" fontId="15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2" fontId="38" fillId="2" borderId="8" xfId="0" applyNumberFormat="1" applyFont="1" applyFill="1" applyBorder="1" applyAlignment="1">
      <alignment horizontal="center" vertical="center"/>
    </xf>
    <xf numFmtId="2" fontId="39" fillId="2" borderId="8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2" fontId="103" fillId="2" borderId="8" xfId="0" applyNumberFormat="1" applyFont="1" applyFill="1" applyBorder="1" applyAlignment="1">
      <alignment horizontal="center" vertical="center"/>
    </xf>
    <xf numFmtId="2" fontId="104" fillId="2" borderId="8" xfId="0" applyNumberFormat="1" applyFont="1" applyFill="1" applyBorder="1" applyAlignment="1">
      <alignment horizontal="center" vertical="center"/>
    </xf>
    <xf numFmtId="2" fontId="107" fillId="2" borderId="8" xfId="0" applyNumberFormat="1" applyFont="1" applyFill="1" applyBorder="1" applyAlignment="1">
      <alignment horizontal="center" vertical="center"/>
    </xf>
    <xf numFmtId="0" fontId="0" fillId="0" borderId="20" xfId="0" applyFont="1" applyBorder="1" applyAlignment="1"/>
    <xf numFmtId="0" fontId="0" fillId="2" borderId="21" xfId="0" applyFont="1" applyFill="1" applyBorder="1" applyAlignment="1"/>
    <xf numFmtId="0" fontId="0" fillId="0" borderId="21" xfId="0" applyFont="1" applyBorder="1" applyAlignment="1"/>
    <xf numFmtId="0" fontId="0" fillId="2" borderId="19" xfId="0" applyFont="1" applyFill="1" applyBorder="1" applyAlignment="1"/>
    <xf numFmtId="0" fontId="0" fillId="0" borderId="0" xfId="0" applyNumberFormat="1" applyFont="1" applyAlignment="1"/>
    <xf numFmtId="0" fontId="116" fillId="2" borderId="3" xfId="0" applyFont="1" applyFill="1" applyBorder="1" applyAlignment="1">
      <alignment horizontal="center" vertical="center"/>
    </xf>
    <xf numFmtId="2" fontId="25" fillId="2" borderId="3" xfId="0" applyNumberFormat="1" applyFont="1" applyFill="1" applyBorder="1" applyAlignment="1"/>
    <xf numFmtId="0" fontId="117" fillId="2" borderId="3" xfId="0" applyFont="1" applyFill="1" applyBorder="1" applyAlignment="1"/>
    <xf numFmtId="0" fontId="0" fillId="2" borderId="3" xfId="0" applyFont="1" applyFill="1" applyBorder="1" applyAlignment="1">
      <alignment horizontal="right"/>
    </xf>
    <xf numFmtId="0" fontId="25" fillId="2" borderId="3" xfId="0" applyFont="1" applyFill="1" applyBorder="1" applyAlignment="1"/>
    <xf numFmtId="0" fontId="118" fillId="2" borderId="3" xfId="0" applyFont="1" applyFill="1" applyBorder="1" applyAlignment="1"/>
    <xf numFmtId="0" fontId="119" fillId="2" borderId="3" xfId="0" applyFont="1" applyFill="1" applyBorder="1" applyAlignment="1"/>
    <xf numFmtId="0" fontId="120" fillId="2" borderId="3" xfId="0" applyFont="1" applyFill="1" applyBorder="1" applyAlignment="1"/>
    <xf numFmtId="0" fontId="122" fillId="2" borderId="8" xfId="0" applyFont="1" applyFill="1" applyBorder="1" applyAlignment="1">
      <alignment horizontal="center"/>
    </xf>
    <xf numFmtId="0" fontId="127" fillId="2" borderId="8" xfId="0" applyFont="1" applyFill="1" applyBorder="1" applyAlignment="1">
      <alignment horizontal="left"/>
    </xf>
    <xf numFmtId="49" fontId="128" fillId="6" borderId="8" xfId="0" applyNumberFormat="1" applyFont="1" applyFill="1" applyBorder="1" applyAlignment="1">
      <alignment horizontal="center" vertical="center"/>
    </xf>
    <xf numFmtId="49" fontId="128" fillId="4" borderId="8" xfId="0" applyNumberFormat="1" applyFont="1" applyFill="1" applyBorder="1" applyAlignment="1">
      <alignment horizontal="center" vertical="center"/>
    </xf>
    <xf numFmtId="0" fontId="128" fillId="2" borderId="23" xfId="0" applyFont="1" applyFill="1" applyBorder="1" applyAlignment="1">
      <alignment horizontal="center"/>
    </xf>
    <xf numFmtId="49" fontId="119" fillId="4" borderId="24" xfId="0" applyNumberFormat="1" applyFont="1" applyFill="1" applyBorder="1" applyAlignment="1">
      <alignment horizontal="center" vertical="center"/>
    </xf>
    <xf numFmtId="49" fontId="118" fillId="4" borderId="25" xfId="0" applyNumberFormat="1" applyFont="1" applyFill="1" applyBorder="1" applyAlignment="1">
      <alignment horizontal="center" vertical="center"/>
    </xf>
    <xf numFmtId="49" fontId="118" fillId="4" borderId="26" xfId="0" applyNumberFormat="1" applyFont="1" applyFill="1" applyBorder="1" applyAlignment="1">
      <alignment horizontal="center" vertical="center"/>
    </xf>
    <xf numFmtId="0" fontId="0" fillId="2" borderId="27" xfId="0" applyFont="1" applyFill="1" applyBorder="1" applyAlignment="1"/>
    <xf numFmtId="49" fontId="119" fillId="4" borderId="28" xfId="0" applyNumberFormat="1" applyFont="1" applyFill="1" applyBorder="1" applyAlignment="1">
      <alignment horizontal="center" vertical="center"/>
    </xf>
    <xf numFmtId="49" fontId="118" fillId="4" borderId="29" xfId="0" applyNumberFormat="1" applyFont="1" applyFill="1" applyBorder="1" applyAlignment="1">
      <alignment horizontal="center" vertical="center"/>
    </xf>
    <xf numFmtId="49" fontId="118" fillId="4" borderId="11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/>
    <xf numFmtId="0" fontId="0" fillId="2" borderId="30" xfId="0" applyFont="1" applyFill="1" applyBorder="1" applyAlignment="1"/>
    <xf numFmtId="0" fontId="130" fillId="2" borderId="30" xfId="0" applyFont="1" applyFill="1" applyBorder="1" applyAlignment="1">
      <alignment horizontal="center"/>
    </xf>
    <xf numFmtId="0" fontId="132" fillId="2" borderId="8" xfId="0" applyFont="1" applyFill="1" applyBorder="1" applyAlignment="1">
      <alignment horizontal="center"/>
    </xf>
    <xf numFmtId="0" fontId="0" fillId="2" borderId="9" xfId="0" applyFont="1" applyFill="1" applyBorder="1" applyAlignment="1"/>
    <xf numFmtId="2" fontId="134" fillId="2" borderId="34" xfId="0" applyNumberFormat="1" applyFont="1" applyFill="1" applyBorder="1" applyAlignment="1">
      <alignment horizontal="center"/>
    </xf>
    <xf numFmtId="0" fontId="135" fillId="2" borderId="35" xfId="0" applyFont="1" applyFill="1" applyBorder="1" applyAlignment="1">
      <alignment horizontal="left"/>
    </xf>
    <xf numFmtId="0" fontId="139" fillId="2" borderId="34" xfId="0" applyFont="1" applyFill="1" applyBorder="1" applyAlignment="1">
      <alignment horizontal="center"/>
    </xf>
    <xf numFmtId="0" fontId="134" fillId="2" borderId="34" xfId="0" applyFont="1" applyFill="1" applyBorder="1" applyAlignment="1">
      <alignment horizontal="center"/>
    </xf>
    <xf numFmtId="0" fontId="140" fillId="2" borderId="35" xfId="0" applyFont="1" applyFill="1" applyBorder="1" applyAlignment="1">
      <alignment horizontal="right"/>
    </xf>
    <xf numFmtId="0" fontId="142" fillId="2" borderId="34" xfId="0" applyFont="1" applyFill="1" applyBorder="1" applyAlignment="1">
      <alignment horizontal="center"/>
    </xf>
    <xf numFmtId="0" fontId="143" fillId="2" borderId="35" xfId="0" applyFont="1" applyFill="1" applyBorder="1" applyAlignment="1">
      <alignment horizontal="right"/>
    </xf>
    <xf numFmtId="0" fontId="145" fillId="2" borderId="34" xfId="0" applyFont="1" applyFill="1" applyBorder="1" applyAlignment="1">
      <alignment horizontal="center"/>
    </xf>
    <xf numFmtId="49" fontId="128" fillId="2" borderId="6" xfId="0" applyNumberFormat="1" applyFont="1" applyFill="1" applyBorder="1" applyAlignment="1">
      <alignment horizontal="center"/>
    </xf>
    <xf numFmtId="0" fontId="0" fillId="2" borderId="37" xfId="0" applyFont="1" applyFill="1" applyBorder="1" applyAlignment="1"/>
    <xf numFmtId="49" fontId="146" fillId="2" borderId="38" xfId="0" applyNumberFormat="1" applyFont="1" applyFill="1" applyBorder="1" applyAlignment="1">
      <alignment horizontal="center"/>
    </xf>
    <xf numFmtId="49" fontId="147" fillId="2" borderId="38" xfId="0" applyNumberFormat="1" applyFont="1" applyFill="1" applyBorder="1" applyAlignment="1">
      <alignment horizontal="center"/>
    </xf>
    <xf numFmtId="49" fontId="148" fillId="2" borderId="38" xfId="0" applyNumberFormat="1" applyFont="1" applyFill="1" applyBorder="1" applyAlignment="1">
      <alignment horizontal="center"/>
    </xf>
    <xf numFmtId="0" fontId="0" fillId="2" borderId="39" xfId="0" applyFont="1" applyFill="1" applyBorder="1" applyAlignment="1"/>
    <xf numFmtId="49" fontId="151" fillId="2" borderId="40" xfId="0" applyNumberFormat="1" applyFont="1" applyFill="1" applyBorder="1" applyAlignment="1">
      <alignment horizontal="right"/>
    </xf>
    <xf numFmtId="2" fontId="151" fillId="2" borderId="41" xfId="0" applyNumberFormat="1" applyFont="1" applyFill="1" applyBorder="1" applyAlignment="1">
      <alignment horizontal="center"/>
    </xf>
    <xf numFmtId="2" fontId="152" fillId="2" borderId="42" xfId="0" applyNumberFormat="1" applyFont="1" applyFill="1" applyBorder="1" applyAlignment="1">
      <alignment horizontal="center"/>
    </xf>
    <xf numFmtId="2" fontId="153" fillId="2" borderId="35" xfId="0" applyNumberFormat="1" applyFont="1" applyFill="1" applyBorder="1" applyAlignment="1">
      <alignment horizontal="center"/>
    </xf>
    <xf numFmtId="2" fontId="0" fillId="2" borderId="35" xfId="0" applyNumberFormat="1" applyFont="1" applyFill="1" applyBorder="1" applyAlignment="1"/>
    <xf numFmtId="2" fontId="25" fillId="2" borderId="42" xfId="0" applyNumberFormat="1" applyFont="1" applyFill="1" applyBorder="1" applyAlignment="1">
      <alignment horizontal="center"/>
    </xf>
    <xf numFmtId="49" fontId="154" fillId="2" borderId="6" xfId="0" applyNumberFormat="1" applyFont="1" applyFill="1" applyBorder="1" applyAlignment="1">
      <alignment horizontal="center"/>
    </xf>
    <xf numFmtId="170" fontId="78" fillId="2" borderId="38" xfId="0" applyNumberFormat="1" applyFont="1" applyFill="1" applyBorder="1" applyAlignment="1">
      <alignment horizontal="center"/>
    </xf>
    <xf numFmtId="49" fontId="156" fillId="2" borderId="40" xfId="0" applyNumberFormat="1" applyFont="1" applyFill="1" applyBorder="1" applyAlignment="1">
      <alignment horizontal="right"/>
    </xf>
    <xf numFmtId="2" fontId="156" fillId="2" borderId="41" xfId="0" applyNumberFormat="1" applyFont="1" applyFill="1" applyBorder="1" applyAlignment="1">
      <alignment horizontal="center"/>
    </xf>
    <xf numFmtId="2" fontId="157" fillId="2" borderId="42" xfId="0" applyNumberFormat="1" applyFont="1" applyFill="1" applyBorder="1" applyAlignment="1">
      <alignment horizontal="center"/>
    </xf>
    <xf numFmtId="2" fontId="158" fillId="2" borderId="42" xfId="0" applyNumberFormat="1" applyFont="1" applyFill="1" applyBorder="1" applyAlignment="1">
      <alignment horizontal="center"/>
    </xf>
    <xf numFmtId="2" fontId="154" fillId="2" borderId="6" xfId="0" applyNumberFormat="1" applyFont="1" applyFill="1" applyBorder="1" applyAlignment="1">
      <alignment horizontal="center"/>
    </xf>
    <xf numFmtId="49" fontId="160" fillId="2" borderId="40" xfId="0" applyNumberFormat="1" applyFont="1" applyFill="1" applyBorder="1" applyAlignment="1">
      <alignment horizontal="right"/>
    </xf>
    <xf numFmtId="2" fontId="160" fillId="2" borderId="41" xfId="0" applyNumberFormat="1" applyFont="1" applyFill="1" applyBorder="1" applyAlignment="1">
      <alignment horizontal="center"/>
    </xf>
    <xf numFmtId="2" fontId="160" fillId="2" borderId="42" xfId="0" applyNumberFormat="1" applyFont="1" applyFill="1" applyBorder="1" applyAlignment="1">
      <alignment horizontal="center"/>
    </xf>
    <xf numFmtId="2" fontId="160" fillId="2" borderId="35" xfId="0" applyNumberFormat="1" applyFont="1" applyFill="1" applyBorder="1" applyAlignment="1">
      <alignment horizontal="right"/>
    </xf>
    <xf numFmtId="2" fontId="160" fillId="2" borderId="35" xfId="0" applyNumberFormat="1" applyFont="1" applyFill="1" applyBorder="1" applyAlignment="1">
      <alignment horizontal="center"/>
    </xf>
    <xf numFmtId="2" fontId="0" fillId="2" borderId="42" xfId="0" applyNumberFormat="1" applyFont="1" applyFill="1" applyBorder="1" applyAlignment="1"/>
    <xf numFmtId="2" fontId="161" fillId="2" borderId="6" xfId="0" applyNumberFormat="1" applyFont="1" applyFill="1" applyBorder="1" applyAlignment="1">
      <alignment horizontal="center"/>
    </xf>
    <xf numFmtId="49" fontId="0" fillId="2" borderId="43" xfId="0" applyNumberFormat="1" applyFont="1" applyFill="1" applyBorder="1" applyAlignment="1">
      <alignment horizontal="right"/>
    </xf>
    <xf numFmtId="49" fontId="110" fillId="2" borderId="40" xfId="0" applyNumberFormat="1" applyFont="1" applyFill="1" applyBorder="1" applyAlignment="1">
      <alignment horizontal="right"/>
    </xf>
    <xf numFmtId="0" fontId="0" fillId="2" borderId="35" xfId="0" applyFont="1" applyFill="1" applyBorder="1" applyAlignment="1"/>
    <xf numFmtId="0" fontId="166" fillId="2" borderId="42" xfId="0" applyFont="1" applyFill="1" applyBorder="1" applyAlignment="1">
      <alignment horizontal="center"/>
    </xf>
    <xf numFmtId="0" fontId="167" fillId="2" borderId="6" xfId="0" applyFont="1" applyFill="1" applyBorder="1" applyAlignment="1">
      <alignment horizontal="center"/>
    </xf>
    <xf numFmtId="49" fontId="0" fillId="2" borderId="44" xfId="0" applyNumberFormat="1" applyFont="1" applyFill="1" applyBorder="1" applyAlignment="1">
      <alignment horizontal="right"/>
    </xf>
    <xf numFmtId="0" fontId="170" fillId="2" borderId="8" xfId="0" applyFont="1" applyFill="1" applyBorder="1" applyAlignment="1">
      <alignment horizontal="center"/>
    </xf>
    <xf numFmtId="0" fontId="14" fillId="2" borderId="8" xfId="0" applyFont="1" applyFill="1" applyBorder="1" applyAlignment="1">
      <alignment horizontal="center"/>
    </xf>
    <xf numFmtId="0" fontId="170" fillId="2" borderId="8" xfId="0" applyFont="1" applyFill="1" applyBorder="1" applyAlignment="1">
      <alignment horizontal="left"/>
    </xf>
    <xf numFmtId="0" fontId="170" fillId="2" borderId="8" xfId="0" applyFont="1" applyFill="1" applyBorder="1" applyAlignment="1">
      <alignment horizontal="right"/>
    </xf>
    <xf numFmtId="49" fontId="0" fillId="2" borderId="45" xfId="0" applyNumberFormat="1" applyFont="1" applyFill="1" applyBorder="1" applyAlignment="1">
      <alignment horizontal="right"/>
    </xf>
    <xf numFmtId="49" fontId="173" fillId="2" borderId="46" xfId="0" applyNumberFormat="1" applyFont="1" applyFill="1" applyBorder="1" applyAlignment="1">
      <alignment horizontal="right"/>
    </xf>
    <xf numFmtId="2" fontId="174" fillId="2" borderId="6" xfId="0" applyNumberFormat="1" applyFont="1" applyFill="1" applyBorder="1" applyAlignment="1">
      <alignment horizontal="center"/>
    </xf>
    <xf numFmtId="0" fontId="175" fillId="2" borderId="49" xfId="0" applyFont="1" applyFill="1" applyBorder="1" applyAlignment="1">
      <alignment horizontal="center"/>
    </xf>
    <xf numFmtId="0" fontId="175" fillId="2" borderId="8" xfId="0" applyFont="1" applyFill="1" applyBorder="1" applyAlignment="1">
      <alignment horizontal="center"/>
    </xf>
    <xf numFmtId="2" fontId="170" fillId="2" borderId="8" xfId="0" applyNumberFormat="1" applyFont="1" applyFill="1" applyBorder="1" applyAlignment="1">
      <alignment horizontal="left"/>
    </xf>
    <xf numFmtId="2" fontId="170" fillId="2" borderId="8" xfId="0" applyNumberFormat="1" applyFont="1" applyFill="1" applyBorder="1" applyAlignment="1">
      <alignment horizontal="center"/>
    </xf>
    <xf numFmtId="0" fontId="98" fillId="2" borderId="8" xfId="0" applyFont="1" applyFill="1" applyBorder="1" applyAlignment="1">
      <alignment horizontal="center"/>
    </xf>
    <xf numFmtId="2" fontId="176" fillId="2" borderId="8" xfId="0" applyNumberFormat="1" applyFont="1" applyFill="1" applyBorder="1" applyAlignment="1">
      <alignment horizontal="center"/>
    </xf>
    <xf numFmtId="2" fontId="142" fillId="2" borderId="34" xfId="0" applyNumberFormat="1" applyFont="1" applyFill="1" applyBorder="1" applyAlignment="1">
      <alignment horizontal="center"/>
    </xf>
    <xf numFmtId="0" fontId="178" fillId="2" borderId="34" xfId="0" applyFont="1" applyFill="1" applyBorder="1" applyAlignment="1">
      <alignment horizontal="center"/>
    </xf>
    <xf numFmtId="0" fontId="179" fillId="2" borderId="34" xfId="0" applyFont="1" applyFill="1" applyBorder="1" applyAlignment="1">
      <alignment horizontal="center"/>
    </xf>
    <xf numFmtId="0" fontId="180" fillId="2" borderId="34" xfId="0" applyFont="1" applyFill="1" applyBorder="1" applyAlignment="1">
      <alignment horizontal="center"/>
    </xf>
    <xf numFmtId="0" fontId="181" fillId="2" borderId="35" xfId="0" applyFont="1" applyFill="1" applyBorder="1" applyAlignment="1">
      <alignment horizontal="right"/>
    </xf>
    <xf numFmtId="49" fontId="183" fillId="2" borderId="6" xfId="0" applyNumberFormat="1" applyFont="1" applyFill="1" applyBorder="1" applyAlignment="1">
      <alignment horizontal="center"/>
    </xf>
    <xf numFmtId="2" fontId="184" fillId="2" borderId="8" xfId="0" applyNumberFormat="1" applyFont="1" applyFill="1" applyBorder="1" applyAlignment="1">
      <alignment horizontal="center"/>
    </xf>
    <xf numFmtId="0" fontId="185" fillId="2" borderId="8" xfId="0" applyFont="1" applyFill="1" applyBorder="1" applyAlignment="1">
      <alignment horizontal="left"/>
    </xf>
    <xf numFmtId="0" fontId="185" fillId="2" borderId="8" xfId="0" applyFont="1" applyFill="1" applyBorder="1" applyAlignment="1">
      <alignment horizontal="center"/>
    </xf>
    <xf numFmtId="2" fontId="186" fillId="2" borderId="35" xfId="0" applyNumberFormat="1" applyFont="1" applyFill="1" applyBorder="1" applyAlignment="1">
      <alignment horizontal="center"/>
    </xf>
    <xf numFmtId="2" fontId="187" fillId="2" borderId="42" xfId="0" applyNumberFormat="1" applyFont="1" applyFill="1" applyBorder="1" applyAlignment="1">
      <alignment horizontal="center"/>
    </xf>
    <xf numFmtId="0" fontId="127" fillId="2" borderId="8" xfId="0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left"/>
    </xf>
    <xf numFmtId="2" fontId="0" fillId="2" borderId="8" xfId="0" applyNumberFormat="1" applyFont="1" applyFill="1" applyBorder="1" applyAlignment="1"/>
    <xf numFmtId="2" fontId="0" fillId="2" borderId="6" xfId="0" applyNumberFormat="1" applyFont="1" applyFill="1" applyBorder="1" applyAlignment="1"/>
    <xf numFmtId="2" fontId="0" fillId="2" borderId="8" xfId="0" applyNumberFormat="1" applyFont="1" applyFill="1" applyBorder="1" applyAlignment="1">
      <alignment horizontal="center"/>
    </xf>
    <xf numFmtId="2" fontId="188" fillId="2" borderId="8" xfId="0" applyNumberFormat="1" applyFont="1" applyFill="1" applyBorder="1" applyAlignment="1">
      <alignment horizontal="left"/>
    </xf>
    <xf numFmtId="0" fontId="110" fillId="2" borderId="8" xfId="0" applyFont="1" applyFill="1" applyBorder="1" applyAlignment="1"/>
    <xf numFmtId="2" fontId="0" fillId="2" borderId="9" xfId="0" applyNumberFormat="1" applyFont="1" applyFill="1" applyBorder="1" applyAlignment="1"/>
    <xf numFmtId="1" fontId="164" fillId="2" borderId="42" xfId="0" applyNumberFormat="1" applyFont="1" applyFill="1" applyBorder="1" applyAlignment="1">
      <alignment horizontal="center"/>
    </xf>
    <xf numFmtId="0" fontId="110" fillId="2" borderId="6" xfId="0" applyFont="1" applyFill="1" applyBorder="1" applyAlignment="1"/>
    <xf numFmtId="2" fontId="188" fillId="2" borderId="8" xfId="0" applyNumberFormat="1" applyFont="1" applyFill="1" applyBorder="1" applyAlignment="1">
      <alignment horizontal="center"/>
    </xf>
    <xf numFmtId="0" fontId="175" fillId="2" borderId="8" xfId="0" applyFont="1" applyFill="1" applyBorder="1" applyAlignment="1">
      <alignment horizontal="left"/>
    </xf>
    <xf numFmtId="0" fontId="113" fillId="2" borderId="8" xfId="0" applyFont="1" applyFill="1" applyBorder="1" applyAlignment="1"/>
    <xf numFmtId="2" fontId="173" fillId="2" borderId="8" xfId="0" applyNumberFormat="1" applyFont="1" applyFill="1" applyBorder="1" applyAlignment="1"/>
    <xf numFmtId="2" fontId="173" fillId="2" borderId="6" xfId="0" applyNumberFormat="1" applyFont="1" applyFill="1" applyBorder="1" applyAlignment="1"/>
    <xf numFmtId="2" fontId="184" fillId="2" borderId="8" xfId="0" applyNumberFormat="1" applyFont="1" applyFill="1" applyBorder="1" applyAlignment="1">
      <alignment horizontal="left"/>
    </xf>
    <xf numFmtId="0" fontId="189" fillId="2" borderId="9" xfId="0" applyFont="1" applyFill="1" applyBorder="1" applyAlignment="1">
      <alignment horizontal="right"/>
    </xf>
    <xf numFmtId="2" fontId="145" fillId="2" borderId="34" xfId="0" applyNumberFormat="1" applyFont="1" applyFill="1" applyBorder="1" applyAlignment="1">
      <alignment horizontal="center"/>
    </xf>
    <xf numFmtId="0" fontId="192" fillId="2" borderId="35" xfId="0" applyFont="1" applyFill="1" applyBorder="1" applyAlignment="1">
      <alignment horizontal="right"/>
    </xf>
    <xf numFmtId="0" fontId="174" fillId="2" borderId="35" xfId="0" applyFont="1" applyFill="1" applyBorder="1" applyAlignment="1">
      <alignment horizontal="right"/>
    </xf>
    <xf numFmtId="0" fontId="0" fillId="2" borderId="6" xfId="0" applyFont="1" applyFill="1" applyBorder="1" applyAlignment="1"/>
    <xf numFmtId="2" fontId="152" fillId="2" borderId="42" xfId="0" applyNumberFormat="1" applyFont="1" applyFill="1" applyBorder="1" applyAlignment="1">
      <alignment horizontal="center" wrapText="1"/>
    </xf>
    <xf numFmtId="49" fontId="0" fillId="2" borderId="8" xfId="0" applyNumberFormat="1" applyFont="1" applyFill="1" applyBorder="1" applyAlignment="1"/>
    <xf numFmtId="2" fontId="156" fillId="2" borderId="41" xfId="0" applyNumberFormat="1" applyFont="1" applyFill="1" applyBorder="1" applyAlignment="1">
      <alignment horizontal="center" wrapText="1"/>
    </xf>
    <xf numFmtId="2" fontId="157" fillId="2" borderId="42" xfId="0" applyNumberFormat="1" applyFont="1" applyFill="1" applyBorder="1" applyAlignment="1">
      <alignment horizontal="center" wrapText="1"/>
    </xf>
    <xf numFmtId="2" fontId="194" fillId="2" borderId="35" xfId="0" applyNumberFormat="1" applyFont="1" applyFill="1" applyBorder="1" applyAlignment="1">
      <alignment horizontal="right"/>
    </xf>
    <xf numFmtId="2" fontId="194" fillId="2" borderId="42" xfId="0" applyNumberFormat="1" applyFont="1" applyFill="1" applyBorder="1" applyAlignment="1">
      <alignment horizontal="center"/>
    </xf>
    <xf numFmtId="2" fontId="194" fillId="2" borderId="35" xfId="0" applyNumberFormat="1" applyFont="1" applyFill="1" applyBorder="1" applyAlignment="1">
      <alignment horizontal="center"/>
    </xf>
    <xf numFmtId="2" fontId="195" fillId="2" borderId="35" xfId="0" applyNumberFormat="1" applyFont="1" applyFill="1" applyBorder="1" applyAlignment="1">
      <alignment horizontal="center"/>
    </xf>
    <xf numFmtId="2" fontId="197" fillId="2" borderId="35" xfId="0" applyNumberFormat="1" applyFont="1" applyFill="1" applyBorder="1" applyAlignment="1">
      <alignment horizontal="center"/>
    </xf>
    <xf numFmtId="2" fontId="200" fillId="2" borderId="35" xfId="0" applyNumberFormat="1" applyFont="1" applyFill="1" applyBorder="1" applyAlignment="1">
      <alignment horizontal="center"/>
    </xf>
    <xf numFmtId="0" fontId="201" fillId="2" borderId="35" xfId="0" applyFont="1" applyFill="1" applyBorder="1" applyAlignment="1">
      <alignment horizontal="right"/>
    </xf>
    <xf numFmtId="0" fontId="202" fillId="2" borderId="34" xfId="0" applyFont="1" applyFill="1" applyBorder="1" applyAlignment="1">
      <alignment horizontal="center"/>
    </xf>
    <xf numFmtId="0" fontId="203" fillId="2" borderId="35" xfId="0" applyFont="1" applyFill="1" applyBorder="1" applyAlignment="1">
      <alignment horizontal="right"/>
    </xf>
    <xf numFmtId="0" fontId="200" fillId="2" borderId="35" xfId="0" applyFont="1" applyFill="1" applyBorder="1" applyAlignment="1">
      <alignment horizontal="center"/>
    </xf>
    <xf numFmtId="1" fontId="152" fillId="2" borderId="42" xfId="0" applyNumberFormat="1" applyFont="1" applyFill="1" applyBorder="1" applyAlignment="1">
      <alignment horizontal="center"/>
    </xf>
    <xf numFmtId="0" fontId="186" fillId="2" borderId="35" xfId="0" applyFont="1" applyFill="1" applyBorder="1" applyAlignment="1">
      <alignment horizontal="center"/>
    </xf>
    <xf numFmtId="0" fontId="25" fillId="2" borderId="4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left"/>
    </xf>
    <xf numFmtId="1" fontId="157" fillId="2" borderId="42" xfId="0" applyNumberFormat="1" applyFont="1" applyFill="1" applyBorder="1" applyAlignment="1">
      <alignment horizontal="center"/>
    </xf>
    <xf numFmtId="0" fontId="158" fillId="2" borderId="4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2" fontId="202" fillId="2" borderId="34" xfId="0" applyNumberFormat="1" applyFont="1" applyFill="1" applyBorder="1" applyAlignment="1">
      <alignment horizontal="center"/>
    </xf>
    <xf numFmtId="2" fontId="186" fillId="2" borderId="41" xfId="0" applyNumberFormat="1" applyFont="1" applyFill="1" applyBorder="1" applyAlignment="1">
      <alignment horizontal="center"/>
    </xf>
    <xf numFmtId="2" fontId="207" fillId="2" borderId="42" xfId="0" applyNumberFormat="1" applyFont="1" applyFill="1" applyBorder="1" applyAlignment="1">
      <alignment horizontal="center"/>
    </xf>
    <xf numFmtId="0" fontId="208" fillId="2" borderId="35" xfId="0" applyFont="1" applyFill="1" applyBorder="1" applyAlignment="1">
      <alignment horizontal="center"/>
    </xf>
    <xf numFmtId="1" fontId="207" fillId="2" borderId="42" xfId="0" applyNumberFormat="1" applyFont="1" applyFill="1" applyBorder="1" applyAlignment="1">
      <alignment horizontal="center"/>
    </xf>
    <xf numFmtId="0" fontId="209" fillId="2" borderId="42" xfId="0" applyFont="1" applyFill="1" applyBorder="1" applyAlignment="1">
      <alignment horizontal="center"/>
    </xf>
    <xf numFmtId="0" fontId="210" fillId="2" borderId="8" xfId="0" applyFont="1" applyFill="1" applyBorder="1" applyAlignment="1">
      <alignment horizontal="left"/>
    </xf>
    <xf numFmtId="0" fontId="210" fillId="2" borderId="8" xfId="0" applyFont="1" applyFill="1" applyBorder="1" applyAlignment="1">
      <alignment horizontal="center"/>
    </xf>
    <xf numFmtId="2" fontId="179" fillId="2" borderId="34" xfId="0" applyNumberFormat="1" applyFont="1" applyFill="1" applyBorder="1" applyAlignment="1">
      <alignment horizontal="center"/>
    </xf>
    <xf numFmtId="0" fontId="207" fillId="2" borderId="42" xfId="0" applyFont="1" applyFill="1" applyBorder="1" applyAlignment="1">
      <alignment horizontal="center"/>
    </xf>
    <xf numFmtId="0" fontId="157" fillId="2" borderId="42" xfId="0" applyFont="1" applyFill="1" applyBorder="1" applyAlignment="1">
      <alignment horizontal="center"/>
    </xf>
    <xf numFmtId="0" fontId="166" fillId="2" borderId="34" xfId="0" applyFont="1" applyFill="1" applyBorder="1" applyAlignment="1">
      <alignment horizontal="center"/>
    </xf>
    <xf numFmtId="2" fontId="110" fillId="2" borderId="8" xfId="0" applyNumberFormat="1" applyFont="1" applyFill="1" applyBorder="1" applyAlignment="1"/>
    <xf numFmtId="2" fontId="115" fillId="2" borderId="35" xfId="0" applyNumberFormat="1" applyFont="1" applyFill="1" applyBorder="1" applyAlignment="1">
      <alignment horizontal="center"/>
    </xf>
    <xf numFmtId="2" fontId="110" fillId="2" borderId="8" xfId="0" applyNumberFormat="1" applyFont="1" applyFill="1" applyBorder="1" applyAlignment="1">
      <alignment horizontal="left"/>
    </xf>
    <xf numFmtId="2" fontId="197" fillId="2" borderId="51" xfId="0" applyNumberFormat="1" applyFont="1" applyFill="1" applyBorder="1" applyAlignment="1">
      <alignment horizontal="center"/>
    </xf>
    <xf numFmtId="0" fontId="0" fillId="0" borderId="0" xfId="0" applyNumberFormat="1" applyFont="1" applyAlignment="1"/>
    <xf numFmtId="0" fontId="0" fillId="2" borderId="1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133" fillId="2" borderId="3" xfId="0" applyFont="1" applyFill="1" applyBorder="1" applyAlignment="1">
      <alignment horizontal="center" vertical="center"/>
    </xf>
    <xf numFmtId="0" fontId="214" fillId="2" borderId="3" xfId="0" applyFont="1" applyFill="1" applyBorder="1" applyAlignment="1">
      <alignment horizontal="center" vertical="center"/>
    </xf>
    <xf numFmtId="0" fontId="215" fillId="2" borderId="3" xfId="0" applyFont="1" applyFill="1" applyBorder="1" applyAlignment="1">
      <alignment horizontal="center" vertical="center"/>
    </xf>
    <xf numFmtId="0" fontId="216" fillId="2" borderId="3" xfId="0" applyFont="1" applyFill="1" applyBorder="1" applyAlignment="1">
      <alignment horizontal="center" vertical="center"/>
    </xf>
    <xf numFmtId="0" fontId="217" fillId="2" borderId="3" xfId="0" applyFont="1" applyFill="1" applyBorder="1" applyAlignment="1">
      <alignment horizontal="center" vertical="center"/>
    </xf>
    <xf numFmtId="0" fontId="205" fillId="2" borderId="3" xfId="0" applyFont="1" applyFill="1" applyBorder="1" applyAlignment="1">
      <alignment horizontal="center" vertical="center"/>
    </xf>
    <xf numFmtId="0" fontId="218" fillId="2" borderId="3" xfId="0" applyFont="1" applyFill="1" applyBorder="1" applyAlignment="1">
      <alignment horizontal="center" vertical="center"/>
    </xf>
    <xf numFmtId="0" fontId="219" fillId="2" borderId="3" xfId="0" applyFont="1" applyFill="1" applyBorder="1" applyAlignment="1">
      <alignment horizontal="center" vertical="center"/>
    </xf>
    <xf numFmtId="0" fontId="220" fillId="2" borderId="3" xfId="0" applyFont="1" applyFill="1" applyBorder="1" applyAlignment="1">
      <alignment horizontal="center" vertical="center"/>
    </xf>
    <xf numFmtId="0" fontId="221" fillId="2" borderId="3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122" fillId="2" borderId="3" xfId="0" applyFont="1" applyFill="1" applyBorder="1" applyAlignment="1"/>
    <xf numFmtId="0" fontId="149" fillId="2" borderId="3" xfId="0" applyFont="1" applyFill="1" applyBorder="1" applyAlignment="1"/>
    <xf numFmtId="0" fontId="222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vertical="center"/>
    </xf>
    <xf numFmtId="0" fontId="0" fillId="2" borderId="13" xfId="0" applyFont="1" applyFill="1" applyBorder="1" applyAlignment="1"/>
    <xf numFmtId="0" fontId="131" fillId="2" borderId="8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0" fillId="2" borderId="13" xfId="0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128" fillId="4" borderId="52" xfId="0" applyNumberFormat="1" applyFont="1" applyFill="1" applyBorder="1" applyAlignment="1">
      <alignment horizontal="center" vertical="center"/>
    </xf>
    <xf numFmtId="49" fontId="128" fillId="4" borderId="53" xfId="0" applyNumberFormat="1" applyFont="1" applyFill="1" applyBorder="1" applyAlignment="1">
      <alignment horizontal="center" vertical="center"/>
    </xf>
    <xf numFmtId="49" fontId="223" fillId="4" borderId="54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vertical="center"/>
    </xf>
    <xf numFmtId="0" fontId="128" fillId="4" borderId="52" xfId="0" applyFont="1" applyFill="1" applyBorder="1" applyAlignment="1">
      <alignment horizontal="center" vertical="center"/>
    </xf>
    <xf numFmtId="49" fontId="224" fillId="4" borderId="53" xfId="0" applyNumberFormat="1" applyFont="1" applyFill="1" applyBorder="1" applyAlignment="1">
      <alignment horizontal="center" vertical="center"/>
    </xf>
    <xf numFmtId="49" fontId="225" fillId="6" borderId="53" xfId="0" applyNumberFormat="1" applyFont="1" applyFill="1" applyBorder="1" applyAlignment="1">
      <alignment horizontal="center" vertical="center"/>
    </xf>
    <xf numFmtId="49" fontId="111" fillId="6" borderId="53" xfId="0" applyNumberFormat="1" applyFont="1" applyFill="1" applyBorder="1" applyAlignment="1">
      <alignment horizontal="center" vertical="center"/>
    </xf>
    <xf numFmtId="49" fontId="112" fillId="6" borderId="53" xfId="0" applyNumberFormat="1" applyFont="1" applyFill="1" applyBorder="1" applyAlignment="1">
      <alignment horizontal="center" vertical="center"/>
    </xf>
    <xf numFmtId="49" fontId="114" fillId="6" borderId="53" xfId="0" applyNumberFormat="1" applyFont="1" applyFill="1" applyBorder="1" applyAlignment="1">
      <alignment horizontal="center" vertical="top"/>
    </xf>
    <xf numFmtId="49" fontId="226" fillId="4" borderId="53" xfId="0" applyNumberFormat="1" applyFont="1" applyFill="1" applyBorder="1" applyAlignment="1">
      <alignment horizontal="center" vertical="center"/>
    </xf>
    <xf numFmtId="49" fontId="227" fillId="4" borderId="54" xfId="0" applyNumberFormat="1" applyFont="1" applyFill="1" applyBorder="1" applyAlignment="1">
      <alignment horizontal="center" vertical="center"/>
    </xf>
    <xf numFmtId="49" fontId="128" fillId="4" borderId="52" xfId="0" applyNumberFormat="1" applyFont="1" applyFill="1" applyBorder="1" applyAlignment="1">
      <alignment horizontal="center" vertical="center"/>
    </xf>
    <xf numFmtId="49" fontId="128" fillId="4" borderId="54" xfId="0" applyNumberFormat="1" applyFont="1" applyFill="1" applyBorder="1" applyAlignment="1">
      <alignment horizontal="center" vertical="center"/>
    </xf>
    <xf numFmtId="0" fontId="128" fillId="2" borderId="8" xfId="0" applyFont="1" applyFill="1" applyBorder="1" applyAlignment="1">
      <alignment horizontal="center" vertical="center"/>
    </xf>
    <xf numFmtId="49" fontId="228" fillId="4" borderId="54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vertical="center"/>
    </xf>
    <xf numFmtId="2" fontId="229" fillId="2" borderId="8" xfId="0" applyNumberFormat="1" applyFont="1" applyFill="1" applyBorder="1" applyAlignment="1">
      <alignment horizontal="center" vertical="center"/>
    </xf>
    <xf numFmtId="0" fontId="230" fillId="2" borderId="9" xfId="0" applyNumberFormat="1" applyFont="1" applyFill="1" applyBorder="1" applyAlignment="1">
      <alignment horizontal="center" vertical="center"/>
    </xf>
    <xf numFmtId="49" fontId="141" fillId="2" borderId="6" xfId="0" applyNumberFormat="1" applyFont="1" applyFill="1" applyBorder="1" applyAlignment="1">
      <alignment horizontal="center" vertical="center"/>
    </xf>
    <xf numFmtId="2" fontId="231" fillId="2" borderId="8" xfId="0" applyNumberFormat="1" applyFont="1" applyFill="1" applyBorder="1" applyAlignment="1">
      <alignment horizontal="center" vertical="center"/>
    </xf>
    <xf numFmtId="0" fontId="232" fillId="2" borderId="9" xfId="0" applyNumberFormat="1" applyFont="1" applyFill="1" applyBorder="1" applyAlignment="1">
      <alignment horizontal="center" vertical="center"/>
    </xf>
    <xf numFmtId="49" fontId="149" fillId="2" borderId="6" xfId="0" applyNumberFormat="1" applyFont="1" applyFill="1" applyBorder="1" applyAlignment="1">
      <alignment horizontal="center" vertical="center"/>
    </xf>
    <xf numFmtId="0" fontId="233" fillId="2" borderId="8" xfId="0" applyNumberFormat="1" applyFont="1" applyFill="1" applyBorder="1" applyAlignment="1">
      <alignment horizontal="center" vertical="center"/>
    </xf>
    <xf numFmtId="2" fontId="150" fillId="2" borderId="8" xfId="0" applyNumberFormat="1" applyFont="1" applyFill="1" applyBorder="1" applyAlignment="1">
      <alignment horizontal="center" vertical="center"/>
    </xf>
    <xf numFmtId="0" fontId="233" fillId="2" borderId="9" xfId="0" applyNumberFormat="1" applyFont="1" applyFill="1" applyBorder="1" applyAlignment="1">
      <alignment horizontal="center" vertical="center"/>
    </xf>
    <xf numFmtId="1" fontId="229" fillId="2" borderId="8" xfId="0" applyNumberFormat="1" applyFont="1" applyFill="1" applyBorder="1" applyAlignment="1">
      <alignment horizontal="center" vertical="center"/>
    </xf>
    <xf numFmtId="0" fontId="164" fillId="2" borderId="35" xfId="0" applyFont="1" applyFill="1" applyBorder="1" applyAlignment="1">
      <alignment horizontal="center" vertical="center"/>
    </xf>
    <xf numFmtId="49" fontId="98" fillId="2" borderId="6" xfId="0" applyNumberFormat="1" applyFont="1" applyFill="1" applyBorder="1" applyAlignment="1">
      <alignment horizontal="center" vertical="center"/>
    </xf>
    <xf numFmtId="2" fontId="176" fillId="2" borderId="8" xfId="0" applyNumberFormat="1" applyFont="1" applyFill="1" applyBorder="1" applyAlignment="1">
      <alignment horizontal="center" vertical="center"/>
    </xf>
    <xf numFmtId="0" fontId="234" fillId="2" borderId="9" xfId="0" applyNumberFormat="1" applyFont="1" applyFill="1" applyBorder="1" applyAlignment="1">
      <alignment horizontal="center" vertical="center"/>
    </xf>
    <xf numFmtId="49" fontId="86" fillId="2" borderId="6" xfId="0" applyNumberFormat="1" applyFont="1" applyFill="1" applyBorder="1" applyAlignment="1">
      <alignment horizontal="center" vertical="center"/>
    </xf>
    <xf numFmtId="0" fontId="235" fillId="2" borderId="8" xfId="0" applyNumberFormat="1" applyFont="1" applyFill="1" applyBorder="1" applyAlignment="1">
      <alignment horizontal="center" vertical="center"/>
    </xf>
    <xf numFmtId="49" fontId="86" fillId="2" borderId="8" xfId="0" applyNumberFormat="1" applyFont="1" applyFill="1" applyBorder="1" applyAlignment="1">
      <alignment horizontal="left" vertical="center"/>
    </xf>
    <xf numFmtId="0" fontId="236" fillId="2" borderId="8" xfId="0" applyFont="1" applyFill="1" applyBorder="1" applyAlignment="1">
      <alignment horizontal="center" vertical="center"/>
    </xf>
    <xf numFmtId="1" fontId="237" fillId="2" borderId="8" xfId="0" applyNumberFormat="1" applyFont="1" applyFill="1" applyBorder="1" applyAlignment="1">
      <alignment horizontal="center" vertical="center"/>
    </xf>
    <xf numFmtId="0" fontId="238" fillId="2" borderId="6" xfId="0" applyFont="1" applyFill="1" applyBorder="1" applyAlignment="1">
      <alignment horizontal="center" vertical="center"/>
    </xf>
    <xf numFmtId="2" fontId="239" fillId="2" borderId="9" xfId="0" applyNumberFormat="1" applyFont="1" applyFill="1" applyBorder="1" applyAlignment="1">
      <alignment horizontal="center" vertical="center"/>
    </xf>
    <xf numFmtId="0" fontId="233" fillId="2" borderId="6" xfId="0" applyFont="1" applyFill="1" applyBorder="1" applyAlignment="1">
      <alignment horizontal="center" vertical="center"/>
    </xf>
    <xf numFmtId="0" fontId="149" fillId="2" borderId="8" xfId="0" applyFont="1" applyFill="1" applyBorder="1" applyAlignment="1">
      <alignment horizontal="center" vertical="center"/>
    </xf>
    <xf numFmtId="2" fontId="240" fillId="2" borderId="9" xfId="0" applyNumberFormat="1" applyFont="1" applyFill="1" applyBorder="1" applyAlignment="1">
      <alignment horizontal="center" vertical="center"/>
    </xf>
    <xf numFmtId="0" fontId="241" fillId="2" borderId="6" xfId="0" applyFont="1" applyFill="1" applyBorder="1" applyAlignment="1">
      <alignment horizontal="center" vertical="center"/>
    </xf>
    <xf numFmtId="0" fontId="219" fillId="2" borderId="8" xfId="0" applyFont="1" applyFill="1" applyBorder="1" applyAlignment="1">
      <alignment horizontal="center" vertical="center"/>
    </xf>
    <xf numFmtId="2" fontId="242" fillId="2" borderId="9" xfId="0" applyNumberFormat="1" applyFont="1" applyFill="1" applyBorder="1" applyAlignment="1">
      <alignment horizontal="center" vertical="center"/>
    </xf>
    <xf numFmtId="0" fontId="243" fillId="2" borderId="6" xfId="0" applyFont="1" applyFill="1" applyBorder="1" applyAlignment="1">
      <alignment horizontal="center" vertical="center"/>
    </xf>
    <xf numFmtId="0" fontId="106" fillId="2" borderId="8" xfId="0" applyFont="1" applyFill="1" applyBorder="1" applyAlignment="1">
      <alignment horizontal="center" vertical="center"/>
    </xf>
    <xf numFmtId="2" fontId="244" fillId="2" borderId="9" xfId="0" applyNumberFormat="1" applyFont="1" applyFill="1" applyBorder="1" applyAlignment="1">
      <alignment horizontal="center" vertical="center"/>
    </xf>
    <xf numFmtId="49" fontId="133" fillId="2" borderId="6" xfId="0" applyNumberFormat="1" applyFont="1" applyFill="1" applyBorder="1" applyAlignment="1">
      <alignment horizontal="center" vertical="center"/>
    </xf>
    <xf numFmtId="2" fontId="246" fillId="2" borderId="8" xfId="0" applyNumberFormat="1" applyFont="1" applyFill="1" applyBorder="1" applyAlignment="1">
      <alignment horizontal="center" vertical="center"/>
    </xf>
    <xf numFmtId="0" fontId="247" fillId="2" borderId="9" xfId="0" applyNumberFormat="1" applyFont="1" applyFill="1" applyBorder="1" applyAlignment="1">
      <alignment horizontal="center" vertical="center"/>
    </xf>
    <xf numFmtId="49" fontId="162" fillId="2" borderId="6" xfId="0" applyNumberFormat="1" applyFont="1" applyFill="1" applyBorder="1" applyAlignment="1">
      <alignment horizontal="center" vertical="center"/>
    </xf>
    <xf numFmtId="2" fontId="248" fillId="2" borderId="8" xfId="0" applyNumberFormat="1" applyFont="1" applyFill="1" applyBorder="1" applyAlignment="1">
      <alignment horizontal="center" vertical="center"/>
    </xf>
    <xf numFmtId="0" fontId="249" fillId="2" borderId="9" xfId="0" applyNumberFormat="1" applyFont="1" applyFill="1" applyBorder="1" applyAlignment="1">
      <alignment horizontal="center" vertical="center"/>
    </xf>
    <xf numFmtId="49" fontId="144" fillId="2" borderId="6" xfId="0" applyNumberFormat="1" applyFont="1" applyFill="1" applyBorder="1" applyAlignment="1">
      <alignment horizontal="center" vertical="center"/>
    </xf>
    <xf numFmtId="2" fontId="159" fillId="2" borderId="8" xfId="0" applyNumberFormat="1" applyFont="1" applyFill="1" applyBorder="1" applyAlignment="1">
      <alignment horizontal="center" vertical="center"/>
    </xf>
    <xf numFmtId="0" fontId="250" fillId="2" borderId="9" xfId="0" applyNumberFormat="1" applyFont="1" applyFill="1" applyBorder="1" applyAlignment="1">
      <alignment horizontal="center" vertical="center"/>
    </xf>
    <xf numFmtId="1" fontId="251" fillId="2" borderId="8" xfId="0" applyNumberFormat="1" applyFont="1" applyFill="1" applyBorder="1" applyAlignment="1">
      <alignment horizontal="center" vertical="center"/>
    </xf>
    <xf numFmtId="0" fontId="252" fillId="2" borderId="9" xfId="0" applyNumberFormat="1" applyFont="1" applyFill="1" applyBorder="1" applyAlignment="1">
      <alignment horizontal="center" vertical="center"/>
    </xf>
    <xf numFmtId="0" fontId="253" fillId="2" borderId="35" xfId="0" applyFont="1" applyFill="1" applyBorder="1" applyAlignment="1">
      <alignment horizontal="center" vertical="center"/>
    </xf>
    <xf numFmtId="49" fontId="221" fillId="2" borderId="6" xfId="0" applyNumberFormat="1" applyFont="1" applyFill="1" applyBorder="1" applyAlignment="1">
      <alignment horizontal="center" vertical="center"/>
    </xf>
    <xf numFmtId="2" fontId="29" fillId="2" borderId="8" xfId="0" applyNumberFormat="1" applyFont="1" applyFill="1" applyBorder="1" applyAlignment="1">
      <alignment horizontal="center" vertical="center"/>
    </xf>
    <xf numFmtId="0" fontId="254" fillId="2" borderId="9" xfId="0" applyNumberFormat="1" applyFont="1" applyFill="1" applyBorder="1" applyAlignment="1">
      <alignment horizontal="center" vertical="center"/>
    </xf>
    <xf numFmtId="49" fontId="141" fillId="2" borderId="8" xfId="0" applyNumberFormat="1" applyFont="1" applyFill="1" applyBorder="1" applyAlignment="1">
      <alignment horizontal="left" vertical="center"/>
    </xf>
    <xf numFmtId="0" fontId="231" fillId="2" borderId="8" xfId="0" applyNumberFormat="1" applyFont="1" applyFill="1" applyBorder="1" applyAlignment="1">
      <alignment horizontal="center" vertical="center"/>
    </xf>
    <xf numFmtId="0" fontId="255" fillId="2" borderId="8" xfId="0" applyFont="1" applyFill="1" applyBorder="1" applyAlignment="1">
      <alignment horizontal="center" vertical="center"/>
    </xf>
    <xf numFmtId="1" fontId="257" fillId="2" borderId="8" xfId="0" applyNumberFormat="1" applyFont="1" applyFill="1" applyBorder="1" applyAlignment="1">
      <alignment horizontal="center" vertical="center"/>
    </xf>
    <xf numFmtId="0" fontId="258" fillId="2" borderId="6" xfId="0" applyFont="1" applyFill="1" applyBorder="1" applyAlignment="1">
      <alignment horizontal="center" vertical="center"/>
    </xf>
    <xf numFmtId="2" fontId="259" fillId="2" borderId="9" xfId="0" applyNumberFormat="1" applyFont="1" applyFill="1" applyBorder="1" applyAlignment="1">
      <alignment horizontal="center" vertical="center"/>
    </xf>
    <xf numFmtId="0" fontId="260" fillId="2" borderId="6" xfId="0" applyFont="1" applyFill="1" applyBorder="1" applyAlignment="1">
      <alignment horizontal="center" vertical="center"/>
    </xf>
    <xf numFmtId="0" fontId="99" fillId="2" borderId="8" xfId="0" applyFont="1" applyFill="1" applyBorder="1" applyAlignment="1">
      <alignment horizontal="center" vertical="center"/>
    </xf>
    <xf numFmtId="2" fontId="261" fillId="2" borderId="9" xfId="0" applyNumberFormat="1" applyFont="1" applyFill="1" applyBorder="1" applyAlignment="1">
      <alignment horizontal="center" vertical="center"/>
    </xf>
    <xf numFmtId="0" fontId="262" fillId="2" borderId="6" xfId="0" applyFont="1" applyFill="1" applyBorder="1" applyAlignment="1">
      <alignment horizontal="center" vertical="center"/>
    </xf>
    <xf numFmtId="0" fontId="221" fillId="2" borderId="8" xfId="0" applyFont="1" applyFill="1" applyBorder="1" applyAlignment="1">
      <alignment horizontal="center" vertical="center"/>
    </xf>
    <xf numFmtId="2" fontId="263" fillId="2" borderId="9" xfId="0" applyNumberFormat="1" applyFont="1" applyFill="1" applyBorder="1" applyAlignment="1">
      <alignment horizontal="center" vertical="center"/>
    </xf>
    <xf numFmtId="0" fontId="264" fillId="2" borderId="6" xfId="0" applyFont="1" applyFill="1" applyBorder="1" applyAlignment="1">
      <alignment horizontal="center" vertical="center"/>
    </xf>
    <xf numFmtId="0" fontId="265" fillId="2" borderId="8" xfId="0" applyFont="1" applyFill="1" applyBorder="1" applyAlignment="1">
      <alignment horizontal="center" vertical="center"/>
    </xf>
    <xf numFmtId="2" fontId="266" fillId="2" borderId="9" xfId="0" applyNumberFormat="1" applyFont="1" applyFill="1" applyBorder="1" applyAlignment="1">
      <alignment horizontal="center" vertical="center"/>
    </xf>
    <xf numFmtId="2" fontId="267" fillId="2" borderId="8" xfId="0" applyNumberFormat="1" applyFont="1" applyFill="1" applyBorder="1" applyAlignment="1">
      <alignment horizontal="center" vertical="center"/>
    </xf>
    <xf numFmtId="0" fontId="268" fillId="2" borderId="9" xfId="0" applyNumberFormat="1" applyFont="1" applyFill="1" applyBorder="1" applyAlignment="1">
      <alignment horizontal="center" vertical="center"/>
    </xf>
    <xf numFmtId="0" fontId="269" fillId="2" borderId="8" xfId="0" applyNumberFormat="1" applyFont="1" applyFill="1" applyBorder="1" applyAlignment="1">
      <alignment horizontal="center" vertical="center"/>
    </xf>
    <xf numFmtId="2" fontId="155" fillId="2" borderId="8" xfId="0" applyNumberFormat="1" applyFont="1" applyFill="1" applyBorder="1" applyAlignment="1">
      <alignment horizontal="center" vertical="center"/>
    </xf>
    <xf numFmtId="0" fontId="269" fillId="2" borderId="9" xfId="0" applyNumberFormat="1" applyFont="1" applyFill="1" applyBorder="1" applyAlignment="1">
      <alignment horizontal="center" vertical="center"/>
    </xf>
    <xf numFmtId="1" fontId="246" fillId="2" borderId="8" xfId="0" applyNumberFormat="1" applyFont="1" applyFill="1" applyBorder="1" applyAlignment="1">
      <alignment horizontal="center" vertical="center"/>
    </xf>
    <xf numFmtId="0" fontId="270" fillId="2" borderId="35" xfId="0" applyFont="1" applyFill="1" applyBorder="1" applyAlignment="1">
      <alignment horizontal="center" vertical="center"/>
    </xf>
    <xf numFmtId="2" fontId="110" fillId="2" borderId="8" xfId="0" applyNumberFormat="1" applyFont="1" applyFill="1" applyBorder="1" applyAlignment="1">
      <alignment horizontal="center" vertical="center"/>
    </xf>
    <xf numFmtId="2" fontId="271" fillId="2" borderId="8" xfId="0" applyNumberFormat="1" applyFont="1" applyFill="1" applyBorder="1" applyAlignment="1">
      <alignment horizontal="center" vertical="center"/>
    </xf>
    <xf numFmtId="0" fontId="272" fillId="2" borderId="9" xfId="0" applyNumberFormat="1" applyFont="1" applyFill="1" applyBorder="1" applyAlignment="1">
      <alignment horizontal="center" vertical="center"/>
    </xf>
    <xf numFmtId="49" fontId="149" fillId="2" borderId="8" xfId="0" applyNumberFormat="1" applyFont="1" applyFill="1" applyBorder="1" applyAlignment="1">
      <alignment horizontal="left" vertical="center"/>
    </xf>
    <xf numFmtId="0" fontId="267" fillId="2" borderId="8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2" fontId="275" fillId="2" borderId="9" xfId="0" applyNumberFormat="1" applyFont="1" applyFill="1" applyBorder="1" applyAlignment="1">
      <alignment horizontal="center" vertical="center"/>
    </xf>
    <xf numFmtId="0" fontId="276" fillId="2" borderId="6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2" fontId="277" fillId="2" borderId="9" xfId="0" applyNumberFormat="1" applyFont="1" applyFill="1" applyBorder="1" applyAlignment="1">
      <alignment horizontal="center" vertical="center"/>
    </xf>
    <xf numFmtId="0" fontId="278" fillId="2" borderId="6" xfId="0" applyFont="1" applyFill="1" applyBorder="1" applyAlignment="1">
      <alignment horizontal="center" vertical="center"/>
    </xf>
    <xf numFmtId="2" fontId="279" fillId="2" borderId="9" xfId="0" applyNumberFormat="1" applyFont="1" applyFill="1" applyBorder="1" applyAlignment="1">
      <alignment horizontal="center" vertical="center"/>
    </xf>
    <xf numFmtId="2" fontId="251" fillId="2" borderId="8" xfId="0" applyNumberFormat="1" applyFont="1" applyFill="1" applyBorder="1" applyAlignment="1">
      <alignment horizontal="center" vertical="center"/>
    </xf>
    <xf numFmtId="0" fontId="37" fillId="2" borderId="8" xfId="0" applyNumberFormat="1" applyFont="1" applyFill="1" applyBorder="1" applyAlignment="1">
      <alignment horizontal="center" vertical="center"/>
    </xf>
    <xf numFmtId="2" fontId="37" fillId="2" borderId="8" xfId="0" applyNumberFormat="1" applyFont="1" applyFill="1" applyBorder="1" applyAlignment="1">
      <alignment horizontal="center" vertical="center"/>
    </xf>
    <xf numFmtId="0" fontId="280" fillId="2" borderId="9" xfId="0" applyNumberFormat="1" applyFont="1" applyFill="1" applyBorder="1" applyAlignment="1">
      <alignment horizontal="center" vertical="center"/>
    </xf>
    <xf numFmtId="0" fontId="281" fillId="2" borderId="35" xfId="0" applyFont="1" applyFill="1" applyBorder="1" applyAlignment="1">
      <alignment horizontal="center" vertical="center"/>
    </xf>
    <xf numFmtId="49" fontId="162" fillId="2" borderId="8" xfId="0" applyNumberFormat="1" applyFont="1" applyFill="1" applyBorder="1" applyAlignment="1">
      <alignment horizontal="left" vertical="center"/>
    </xf>
    <xf numFmtId="0" fontId="256" fillId="2" borderId="8" xfId="0" applyFont="1" applyFill="1" applyBorder="1" applyAlignment="1">
      <alignment horizontal="center" vertical="center"/>
    </xf>
    <xf numFmtId="0" fontId="232" fillId="2" borderId="6" xfId="0" applyFont="1" applyFill="1" applyBorder="1" applyAlignment="1">
      <alignment horizontal="center" vertical="center"/>
    </xf>
    <xf numFmtId="0" fontId="141" fillId="2" borderId="8" xfId="0" applyFont="1" applyFill="1" applyBorder="1" applyAlignment="1">
      <alignment horizontal="center" vertical="center"/>
    </xf>
    <xf numFmtId="2" fontId="283" fillId="2" borderId="9" xfId="0" applyNumberFormat="1" applyFont="1" applyFill="1" applyBorder="1" applyAlignment="1">
      <alignment horizontal="center" vertical="center"/>
    </xf>
    <xf numFmtId="0" fontId="284" fillId="2" borderId="6" xfId="0" applyFont="1" applyFill="1" applyBorder="1" applyAlignment="1">
      <alignment horizontal="center" vertical="center"/>
    </xf>
    <xf numFmtId="0" fontId="98" fillId="2" borderId="8" xfId="0" applyFont="1" applyFill="1" applyBorder="1" applyAlignment="1">
      <alignment horizontal="center" vertical="center"/>
    </xf>
    <xf numFmtId="2" fontId="285" fillId="2" borderId="9" xfId="0" applyNumberFormat="1" applyFont="1" applyFill="1" applyBorder="1" applyAlignment="1">
      <alignment horizontal="center" vertical="center"/>
    </xf>
    <xf numFmtId="0" fontId="269" fillId="2" borderId="6" xfId="0" applyFont="1" applyFill="1" applyBorder="1" applyAlignment="1">
      <alignment horizontal="center" vertical="center"/>
    </xf>
    <xf numFmtId="0" fontId="286" fillId="2" borderId="6" xfId="0" applyFont="1" applyFill="1" applyBorder="1" applyAlignment="1">
      <alignment horizontal="center" vertical="center"/>
    </xf>
    <xf numFmtId="0" fontId="105" fillId="2" borderId="8" xfId="0" applyFont="1" applyFill="1" applyBorder="1" applyAlignment="1">
      <alignment horizontal="center" vertical="center"/>
    </xf>
    <xf numFmtId="2" fontId="287" fillId="2" borderId="9" xfId="0" applyNumberFormat="1" applyFont="1" applyFill="1" applyBorder="1" applyAlignment="1">
      <alignment horizontal="center" vertical="center"/>
    </xf>
    <xf numFmtId="0" fontId="288" fillId="2" borderId="8" xfId="0" applyNumberFormat="1" applyFont="1" applyFill="1" applyBorder="1" applyAlignment="1">
      <alignment horizontal="center" vertical="center"/>
    </xf>
    <xf numFmtId="2" fontId="163" fillId="2" borderId="8" xfId="0" applyNumberFormat="1" applyFont="1" applyFill="1" applyBorder="1" applyAlignment="1">
      <alignment horizontal="center" vertical="center"/>
    </xf>
    <xf numFmtId="0" fontId="288" fillId="2" borderId="9" xfId="0" applyNumberFormat="1" applyFont="1" applyFill="1" applyBorder="1" applyAlignment="1">
      <alignment horizontal="center" vertical="center"/>
    </xf>
    <xf numFmtId="1" fontId="267" fillId="2" borderId="8" xfId="0" applyNumberFormat="1" applyFont="1" applyFill="1" applyBorder="1" applyAlignment="1">
      <alignment horizontal="center" vertical="center"/>
    </xf>
    <xf numFmtId="0" fontId="90" fillId="2" borderId="35" xfId="0" applyFont="1" applyFill="1" applyBorder="1" applyAlignment="1">
      <alignment horizontal="center" vertical="center"/>
    </xf>
    <xf numFmtId="0" fontId="289" fillId="2" borderId="9" xfId="0" applyNumberFormat="1" applyFont="1" applyFill="1" applyBorder="1" applyAlignment="1">
      <alignment horizontal="center" vertical="center"/>
    </xf>
    <xf numFmtId="49" fontId="28" fillId="2" borderId="8" xfId="0" applyNumberFormat="1" applyFont="1" applyFill="1" applyBorder="1" applyAlignment="1">
      <alignment horizontal="left" vertical="center"/>
    </xf>
    <xf numFmtId="0" fontId="251" fillId="2" borderId="8" xfId="0" applyNumberFormat="1" applyFont="1" applyFill="1" applyBorder="1" applyAlignment="1">
      <alignment horizontal="center" vertical="center"/>
    </xf>
    <xf numFmtId="0" fontId="150" fillId="2" borderId="8" xfId="0" applyFont="1" applyFill="1" applyBorder="1" applyAlignment="1">
      <alignment horizontal="center" vertical="center"/>
    </xf>
    <xf numFmtId="0" fontId="193" fillId="2" borderId="6" xfId="0" applyFont="1" applyFill="1" applyBorder="1" applyAlignment="1">
      <alignment horizontal="center" vertical="center"/>
    </xf>
    <xf numFmtId="0" fontId="133" fillId="2" borderId="8" xfId="0" applyFont="1" applyFill="1" applyBorder="1" applyAlignment="1">
      <alignment horizontal="center" vertical="center"/>
    </xf>
    <xf numFmtId="2" fontId="291" fillId="2" borderId="9" xfId="0" applyNumberFormat="1" applyFont="1" applyFill="1" applyBorder="1" applyAlignment="1">
      <alignment horizontal="center" vertical="center"/>
    </xf>
    <xf numFmtId="0" fontId="292" fillId="2" borderId="6" xfId="0" applyFont="1" applyFill="1" applyBorder="1" applyAlignment="1">
      <alignment horizontal="center" vertical="center"/>
    </xf>
    <xf numFmtId="2" fontId="293" fillId="2" borderId="9" xfId="0" applyNumberFormat="1" applyFont="1" applyFill="1" applyBorder="1" applyAlignment="1">
      <alignment horizontal="center" vertical="center"/>
    </xf>
    <xf numFmtId="49" fontId="219" fillId="2" borderId="6" xfId="0" applyNumberFormat="1" applyFont="1" applyFill="1" applyBorder="1" applyAlignment="1">
      <alignment horizontal="center" vertical="center"/>
    </xf>
    <xf numFmtId="2" fontId="295" fillId="2" borderId="8" xfId="0" applyNumberFormat="1" applyFont="1" applyFill="1" applyBorder="1" applyAlignment="1">
      <alignment horizontal="center" vertical="center"/>
    </xf>
    <xf numFmtId="0" fontId="296" fillId="2" borderId="9" xfId="0" applyNumberFormat="1" applyFont="1" applyFill="1" applyBorder="1" applyAlignment="1">
      <alignment horizontal="center" vertical="center"/>
    </xf>
    <xf numFmtId="49" fontId="106" fillId="2" borderId="6" xfId="0" applyNumberFormat="1" applyFont="1" applyFill="1" applyBorder="1" applyAlignment="1">
      <alignment horizontal="center" vertical="center"/>
    </xf>
    <xf numFmtId="0" fontId="194" fillId="2" borderId="8" xfId="0" applyNumberFormat="1" applyFont="1" applyFill="1" applyBorder="1" applyAlignment="1">
      <alignment horizontal="center" vertical="center"/>
    </xf>
    <xf numFmtId="2" fontId="160" fillId="2" borderId="8" xfId="0" applyNumberFormat="1" applyFont="1" applyFill="1" applyBorder="1" applyAlignment="1">
      <alignment horizontal="center" vertical="center"/>
    </xf>
    <xf numFmtId="0" fontId="194" fillId="2" borderId="9" xfId="0" applyNumberFormat="1" applyFont="1" applyFill="1" applyBorder="1" applyAlignment="1">
      <alignment horizontal="center" vertical="center"/>
    </xf>
    <xf numFmtId="0" fontId="77" fillId="2" borderId="35" xfId="0" applyFont="1" applyFill="1" applyBorder="1" applyAlignment="1">
      <alignment horizontal="center" vertical="center"/>
    </xf>
    <xf numFmtId="0" fontId="297" fillId="2" borderId="9" xfId="0" applyNumberFormat="1" applyFont="1" applyFill="1" applyBorder="1" applyAlignment="1">
      <alignment horizontal="center" vertical="center"/>
    </xf>
    <xf numFmtId="49" fontId="144" fillId="2" borderId="8" xfId="0" applyNumberFormat="1" applyFont="1" applyFill="1" applyBorder="1" applyAlignment="1">
      <alignment horizontal="left" vertical="center"/>
    </xf>
    <xf numFmtId="0" fontId="300" fillId="2" borderId="8" xfId="0" applyNumberFormat="1" applyFont="1" applyFill="1" applyBorder="1" applyAlignment="1">
      <alignment horizontal="center" vertical="center"/>
    </xf>
    <xf numFmtId="0" fontId="298" fillId="2" borderId="8" xfId="0" applyFont="1" applyFill="1" applyBorder="1" applyAlignment="1">
      <alignment horizontal="center" vertical="center"/>
    </xf>
    <xf numFmtId="0" fontId="301" fillId="2" borderId="6" xfId="0" applyFont="1" applyFill="1" applyBorder="1" applyAlignment="1">
      <alignment horizontal="center" vertical="center"/>
    </xf>
    <xf numFmtId="0" fontId="108" fillId="2" borderId="8" xfId="0" applyFont="1" applyFill="1" applyBorder="1" applyAlignment="1">
      <alignment horizontal="center" vertical="center"/>
    </xf>
    <xf numFmtId="2" fontId="302" fillId="2" borderId="9" xfId="0" applyNumberFormat="1" applyFont="1" applyFill="1" applyBorder="1" applyAlignment="1">
      <alignment horizontal="center" vertical="center"/>
    </xf>
    <xf numFmtId="0" fontId="303" fillId="2" borderId="6" xfId="0" applyFont="1" applyFill="1" applyBorder="1" applyAlignment="1">
      <alignment horizontal="center" vertical="center"/>
    </xf>
    <xf numFmtId="0" fontId="304" fillId="2" borderId="8" xfId="0" applyFont="1" applyFill="1" applyBorder="1" applyAlignment="1">
      <alignment horizontal="center" vertical="center"/>
    </xf>
    <xf numFmtId="2" fontId="305" fillId="2" borderId="9" xfId="0" applyNumberFormat="1" applyFont="1" applyFill="1" applyBorder="1" applyAlignment="1">
      <alignment horizontal="center" vertical="center"/>
    </xf>
    <xf numFmtId="2" fontId="306" fillId="2" borderId="8" xfId="0" applyNumberFormat="1" applyFont="1" applyFill="1" applyBorder="1" applyAlignment="1">
      <alignment horizontal="center" vertical="center"/>
    </xf>
    <xf numFmtId="0" fontId="307" fillId="2" borderId="9" xfId="0" applyNumberFormat="1" applyFont="1" applyFill="1" applyBorder="1" applyAlignment="1">
      <alignment horizontal="center" vertical="center"/>
    </xf>
    <xf numFmtId="0" fontId="276" fillId="2" borderId="8" xfId="0" applyNumberFormat="1" applyFont="1" applyFill="1" applyBorder="1" applyAlignment="1">
      <alignment horizontal="center" vertical="center"/>
    </xf>
    <xf numFmtId="2" fontId="169" fillId="2" borderId="8" xfId="0" applyNumberFormat="1" applyFont="1" applyFill="1" applyBorder="1" applyAlignment="1">
      <alignment horizontal="center" vertical="center"/>
    </xf>
    <xf numFmtId="0" fontId="276" fillId="2" borderId="9" xfId="0" applyNumberFormat="1" applyFont="1" applyFill="1" applyBorder="1" applyAlignment="1">
      <alignment horizontal="center" vertical="center"/>
    </xf>
    <xf numFmtId="1" fontId="295" fillId="2" borderId="8" xfId="0" applyNumberFormat="1" applyFont="1" applyFill="1" applyBorder="1" applyAlignment="1">
      <alignment horizontal="center" vertical="center"/>
    </xf>
    <xf numFmtId="0" fontId="308" fillId="2" borderId="35" xfId="0" applyFont="1" applyFill="1" applyBorder="1" applyAlignment="1">
      <alignment horizontal="center" vertical="center"/>
    </xf>
    <xf numFmtId="2" fontId="294" fillId="2" borderId="8" xfId="0" applyNumberFormat="1" applyFont="1" applyFill="1" applyBorder="1" applyAlignment="1">
      <alignment horizontal="center" vertical="center"/>
    </xf>
    <xf numFmtId="0" fontId="309" fillId="2" borderId="9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left" vertical="center"/>
    </xf>
    <xf numFmtId="0" fontId="229" fillId="2" borderId="8" xfId="0" applyNumberFormat="1" applyFont="1" applyFill="1" applyBorder="1" applyAlignment="1">
      <alignment horizontal="center" vertical="center"/>
    </xf>
    <xf numFmtId="0" fontId="310" fillId="2" borderId="8" xfId="0" applyFont="1" applyFill="1" applyBorder="1" applyAlignment="1">
      <alignment horizontal="center" vertical="center"/>
    </xf>
    <xf numFmtId="0" fontId="311" fillId="2" borderId="6" xfId="0" applyFont="1" applyFill="1" applyBorder="1" applyAlignment="1">
      <alignment horizontal="center" vertical="center"/>
    </xf>
    <xf numFmtId="0" fontId="216" fillId="2" borderId="8" xfId="0" applyFont="1" applyFill="1" applyBorder="1" applyAlignment="1">
      <alignment horizontal="center" vertical="center"/>
    </xf>
    <xf numFmtId="0" fontId="312" fillId="2" borderId="6" xfId="0" applyFont="1" applyFill="1" applyBorder="1" applyAlignment="1">
      <alignment horizontal="center" vertical="center"/>
    </xf>
    <xf numFmtId="2" fontId="313" fillId="2" borderId="9" xfId="0" applyNumberFormat="1" applyFont="1" applyFill="1" applyBorder="1" applyAlignment="1">
      <alignment horizontal="center" vertical="center"/>
    </xf>
    <xf numFmtId="0" fontId="176" fillId="2" borderId="8" xfId="0" applyNumberFormat="1" applyFont="1" applyFill="1" applyBorder="1" applyAlignment="1">
      <alignment horizontal="center" vertical="center"/>
    </xf>
    <xf numFmtId="0" fontId="284" fillId="2" borderId="9" xfId="0" applyNumberFormat="1" applyFont="1" applyFill="1" applyBorder="1" applyAlignment="1">
      <alignment horizontal="center" vertical="center"/>
    </xf>
    <xf numFmtId="49" fontId="171" fillId="2" borderId="6" xfId="0" applyNumberFormat="1" applyFont="1" applyFill="1" applyBorder="1" applyAlignment="1">
      <alignment horizontal="center" vertical="center"/>
    </xf>
    <xf numFmtId="1" fontId="314" fillId="2" borderId="8" xfId="0" applyNumberFormat="1" applyFont="1" applyFill="1" applyBorder="1" applyAlignment="1">
      <alignment horizontal="center" vertical="center"/>
    </xf>
    <xf numFmtId="0" fontId="315" fillId="2" borderId="9" xfId="0" applyNumberFormat="1" applyFont="1" applyFill="1" applyBorder="1" applyAlignment="1">
      <alignment horizontal="center" vertical="center"/>
    </xf>
    <xf numFmtId="0" fontId="92" fillId="2" borderId="35" xfId="0" applyFont="1" applyFill="1" applyBorder="1" applyAlignment="1">
      <alignment horizontal="center" vertical="center"/>
    </xf>
    <xf numFmtId="49" fontId="106" fillId="2" borderId="8" xfId="0" applyNumberFormat="1" applyFont="1" applyFill="1" applyBorder="1" applyAlignment="1">
      <alignment horizontal="left" vertical="center"/>
    </xf>
    <xf numFmtId="0" fontId="317" fillId="2" borderId="8" xfId="0" applyNumberFormat="1" applyFont="1" applyFill="1" applyBorder="1" applyAlignment="1">
      <alignment horizontal="center" vertical="center"/>
    </xf>
    <xf numFmtId="0" fontId="299" fillId="2" borderId="8" xfId="0" applyFont="1" applyFill="1" applyBorder="1" applyAlignment="1">
      <alignment horizontal="center" vertical="center"/>
    </xf>
    <xf numFmtId="0" fontId="318" fillId="2" borderId="6" xfId="0" applyFont="1" applyFill="1" applyBorder="1" applyAlignment="1">
      <alignment horizontal="center" vertical="center"/>
    </xf>
    <xf numFmtId="0" fontId="144" fillId="2" borderId="8" xfId="0" applyFont="1" applyFill="1" applyBorder="1" applyAlignment="1">
      <alignment horizontal="center" vertical="center"/>
    </xf>
    <xf numFmtId="2" fontId="319" fillId="2" borderId="9" xfId="0" applyNumberFormat="1" applyFont="1" applyFill="1" applyBorder="1" applyAlignment="1">
      <alignment horizontal="center" vertical="center"/>
    </xf>
    <xf numFmtId="0" fontId="320" fillId="2" borderId="6" xfId="0" applyFont="1" applyFill="1" applyBorder="1" applyAlignment="1">
      <alignment horizontal="center" vertical="center"/>
    </xf>
    <xf numFmtId="0" fontId="182" fillId="2" borderId="8" xfId="0" applyFont="1" applyFill="1" applyBorder="1" applyAlignment="1">
      <alignment horizontal="center" vertical="center"/>
    </xf>
    <xf numFmtId="2" fontId="321" fillId="2" borderId="9" xfId="0" applyNumberFormat="1" applyFont="1" applyFill="1" applyBorder="1" applyAlignment="1">
      <alignment horizontal="center" vertical="center"/>
    </xf>
    <xf numFmtId="0" fontId="322" fillId="2" borderId="6" xfId="0" applyFont="1" applyFill="1" applyBorder="1" applyAlignment="1">
      <alignment horizontal="center" vertical="center"/>
    </xf>
    <xf numFmtId="0" fontId="168" fillId="2" borderId="8" xfId="0" applyFont="1" applyFill="1" applyBorder="1" applyAlignment="1">
      <alignment horizontal="center" vertical="center"/>
    </xf>
    <xf numFmtId="2" fontId="323" fillId="2" borderId="9" xfId="0" applyNumberFormat="1" applyFont="1" applyFill="1" applyBorder="1" applyAlignment="1">
      <alignment horizontal="center" vertical="center"/>
    </xf>
    <xf numFmtId="2" fontId="314" fillId="2" borderId="8" xfId="0" applyNumberFormat="1" applyFont="1" applyFill="1" applyBorder="1" applyAlignment="1">
      <alignment horizontal="center" vertical="center"/>
    </xf>
    <xf numFmtId="2" fontId="324" fillId="2" borderId="8" xfId="0" applyNumberFormat="1" applyFont="1" applyFill="1" applyBorder="1" applyAlignment="1">
      <alignment horizontal="center" vertical="center"/>
    </xf>
    <xf numFmtId="0" fontId="325" fillId="2" borderId="9" xfId="0" applyNumberFormat="1" applyFont="1" applyFill="1" applyBorder="1" applyAlignment="1">
      <alignment horizontal="center" vertical="center"/>
    </xf>
    <xf numFmtId="2" fontId="172" fillId="2" borderId="8" xfId="0" applyNumberFormat="1" applyFont="1" applyFill="1" applyBorder="1" applyAlignment="1">
      <alignment horizontal="center" vertical="center"/>
    </xf>
    <xf numFmtId="0" fontId="326" fillId="2" borderId="9" xfId="0" applyNumberFormat="1" applyFont="1" applyFill="1" applyBorder="1" applyAlignment="1">
      <alignment horizontal="center" vertical="center"/>
    </xf>
    <xf numFmtId="1" fontId="327" fillId="2" borderId="8" xfId="0" applyNumberFormat="1" applyFont="1" applyFill="1" applyBorder="1" applyAlignment="1">
      <alignment horizontal="center" vertical="center"/>
    </xf>
    <xf numFmtId="0" fontId="328" fillId="2" borderId="9" xfId="0" applyNumberFormat="1" applyFont="1" applyFill="1" applyBorder="1" applyAlignment="1">
      <alignment horizontal="center" vertical="center"/>
    </xf>
    <xf numFmtId="0" fontId="25" fillId="2" borderId="35" xfId="0" applyFont="1" applyFill="1" applyBorder="1" applyAlignment="1">
      <alignment horizontal="center" vertical="center"/>
    </xf>
    <xf numFmtId="49" fontId="98" fillId="2" borderId="8" xfId="0" applyNumberFormat="1" applyFont="1" applyFill="1" applyBorder="1" applyAlignment="1">
      <alignment horizontal="left" vertical="center"/>
    </xf>
    <xf numFmtId="0" fontId="324" fillId="2" borderId="8" xfId="0" applyNumberFormat="1" applyFont="1" applyFill="1" applyBorder="1" applyAlignment="1">
      <alignment horizontal="center" vertical="center"/>
    </xf>
    <xf numFmtId="0" fontId="290" fillId="2" borderId="8" xfId="0" applyFont="1" applyFill="1" applyBorder="1" applyAlignment="1">
      <alignment horizontal="center" vertical="center"/>
    </xf>
    <xf numFmtId="0" fontId="252" fillId="2" borderId="6" xfId="0" applyFont="1" applyFill="1" applyBorder="1" applyAlignment="1">
      <alignment horizontal="center" vertical="center"/>
    </xf>
    <xf numFmtId="0" fontId="280" fillId="2" borderId="6" xfId="0" applyFont="1" applyFill="1" applyBorder="1" applyAlignment="1">
      <alignment horizontal="center" vertical="center"/>
    </xf>
    <xf numFmtId="0" fontId="331" fillId="2" borderId="6" xfId="0" applyFont="1" applyFill="1" applyBorder="1" applyAlignment="1">
      <alignment horizontal="center" vertical="center"/>
    </xf>
    <xf numFmtId="2" fontId="332" fillId="2" borderId="9" xfId="0" applyNumberFormat="1" applyFont="1" applyFill="1" applyBorder="1" applyAlignment="1">
      <alignment horizontal="center" vertical="center"/>
    </xf>
    <xf numFmtId="49" fontId="171" fillId="2" borderId="10" xfId="0" applyNumberFormat="1" applyFont="1" applyFill="1" applyBorder="1" applyAlignment="1">
      <alignment horizontal="center" vertical="center"/>
    </xf>
    <xf numFmtId="0" fontId="330" fillId="2" borderId="8" xfId="0" applyFont="1" applyFill="1" applyBorder="1" applyAlignment="1">
      <alignment horizontal="center" vertical="center"/>
    </xf>
    <xf numFmtId="0" fontId="325" fillId="2" borderId="6" xfId="0" applyFont="1" applyFill="1" applyBorder="1" applyAlignment="1">
      <alignment horizontal="center" vertical="center"/>
    </xf>
    <xf numFmtId="0" fontId="334" fillId="2" borderId="6" xfId="0" applyFont="1" applyFill="1" applyBorder="1" applyAlignment="1">
      <alignment horizontal="center" vertical="center"/>
    </xf>
    <xf numFmtId="2" fontId="335" fillId="2" borderId="9" xfId="0" applyNumberFormat="1" applyFont="1" applyFill="1" applyBorder="1" applyAlignment="1">
      <alignment horizontal="center" vertical="center"/>
    </xf>
    <xf numFmtId="0" fontId="0" fillId="2" borderId="53" xfId="0" applyFont="1" applyFill="1" applyBorder="1" applyAlignment="1">
      <alignment vertical="center"/>
    </xf>
    <xf numFmtId="0" fontId="257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9" fontId="257" fillId="2" borderId="8" xfId="0" applyNumberFormat="1" applyFont="1" applyFill="1" applyBorder="1" applyAlignment="1">
      <alignment horizontal="right" vertical="center"/>
    </xf>
    <xf numFmtId="0" fontId="0" fillId="2" borderId="8" xfId="0" applyFont="1" applyFill="1" applyBorder="1" applyAlignment="1">
      <alignment horizontal="left" vertical="center"/>
    </xf>
    <xf numFmtId="0" fontId="0" fillId="2" borderId="11" xfId="0" applyFont="1" applyFill="1" applyBorder="1" applyAlignment="1"/>
    <xf numFmtId="0" fontId="338" fillId="2" borderId="11" xfId="0" applyFont="1" applyFill="1" applyBorder="1" applyAlignment="1">
      <alignment horizontal="center" vertical="center"/>
    </xf>
    <xf numFmtId="0" fontId="338" fillId="2" borderId="8" xfId="0" applyFont="1" applyFill="1" applyBorder="1" applyAlignment="1">
      <alignment horizontal="center" vertical="center"/>
    </xf>
    <xf numFmtId="0" fontId="338" fillId="2" borderId="8" xfId="0" applyFont="1" applyFill="1" applyBorder="1" applyAlignment="1">
      <alignment vertical="center"/>
    </xf>
    <xf numFmtId="0" fontId="339" fillId="2" borderId="13" xfId="0" applyFont="1" applyFill="1" applyBorder="1" applyAlignment="1">
      <alignment horizontal="center" vertical="center"/>
    </xf>
    <xf numFmtId="0" fontId="339" fillId="2" borderId="9" xfId="0" applyFont="1" applyFill="1" applyBorder="1" applyAlignment="1">
      <alignment horizontal="center" vertical="center"/>
    </xf>
    <xf numFmtId="0" fontId="339" fillId="2" borderId="35" xfId="0" applyFont="1" applyFill="1" applyBorder="1" applyAlignment="1">
      <alignment horizontal="center" vertical="center"/>
    </xf>
    <xf numFmtId="0" fontId="150" fillId="2" borderId="8" xfId="0" applyNumberFormat="1" applyFont="1" applyFill="1" applyBorder="1" applyAlignment="1">
      <alignment horizontal="center" vertical="center"/>
    </xf>
    <xf numFmtId="1" fontId="37" fillId="2" borderId="8" xfId="0" applyNumberFormat="1" applyFont="1" applyFill="1" applyBorder="1" applyAlignment="1">
      <alignment horizontal="center" vertical="center"/>
    </xf>
    <xf numFmtId="0" fontId="233" fillId="2" borderId="8" xfId="0" applyFont="1" applyFill="1" applyBorder="1" applyAlignment="1">
      <alignment horizontal="center" vertical="center"/>
    </xf>
    <xf numFmtId="0" fontId="274" fillId="2" borderId="9" xfId="0" applyFont="1" applyFill="1" applyBorder="1" applyAlignment="1">
      <alignment horizontal="center" vertical="center"/>
    </xf>
    <xf numFmtId="0" fontId="342" fillId="2" borderId="9" xfId="0" applyFont="1" applyFill="1" applyBorder="1" applyAlignment="1">
      <alignment horizontal="center" vertical="center"/>
    </xf>
    <xf numFmtId="2" fontId="16" fillId="2" borderId="8" xfId="0" applyNumberFormat="1" applyFont="1" applyFill="1" applyBorder="1" applyAlignment="1">
      <alignment horizontal="center" vertical="center"/>
    </xf>
    <xf numFmtId="0" fontId="15" fillId="2" borderId="9" xfId="0" applyNumberFormat="1" applyFont="1" applyFill="1" applyBorder="1" applyAlignment="1">
      <alignment horizontal="center" vertical="center"/>
    </xf>
    <xf numFmtId="0" fontId="163" fillId="2" borderId="8" xfId="0" applyNumberFormat="1" applyFont="1" applyFill="1" applyBorder="1" applyAlignment="1">
      <alignment horizontal="center" vertical="center"/>
    </xf>
    <xf numFmtId="1" fontId="235" fillId="2" borderId="8" xfId="0" applyNumberFormat="1" applyFont="1" applyFill="1" applyBorder="1" applyAlignment="1">
      <alignment horizontal="center" vertical="center"/>
    </xf>
    <xf numFmtId="0" fontId="238" fillId="2" borderId="9" xfId="0" applyNumberFormat="1" applyFont="1" applyFill="1" applyBorder="1" applyAlignment="1">
      <alignment horizontal="center" vertical="center"/>
    </xf>
    <xf numFmtId="1" fontId="150" fillId="2" borderId="8" xfId="0" applyNumberFormat="1" applyFont="1" applyFill="1" applyBorder="1" applyAlignment="1">
      <alignment horizontal="center" vertical="center"/>
    </xf>
    <xf numFmtId="0" fontId="241" fillId="2" borderId="8" xfId="0" applyFont="1" applyFill="1" applyBorder="1" applyAlignment="1">
      <alignment horizontal="center" vertical="center"/>
    </xf>
    <xf numFmtId="0" fontId="182" fillId="2" borderId="6" xfId="0" applyFont="1" applyFill="1" applyBorder="1" applyAlignment="1">
      <alignment horizontal="center" vertical="center"/>
    </xf>
    <xf numFmtId="0" fontId="344" fillId="2" borderId="9" xfId="0" applyFont="1" applyFill="1" applyBorder="1" applyAlignment="1">
      <alignment horizontal="center" vertical="center"/>
    </xf>
    <xf numFmtId="0" fontId="99" fillId="2" borderId="6" xfId="0" applyFont="1" applyFill="1" applyBorder="1" applyAlignment="1">
      <alignment horizontal="center" vertical="center"/>
    </xf>
    <xf numFmtId="0" fontId="345" fillId="2" borderId="8" xfId="0" applyFont="1" applyFill="1" applyBorder="1" applyAlignment="1">
      <alignment horizontal="center" vertical="center"/>
    </xf>
    <xf numFmtId="0" fontId="346" fillId="2" borderId="9" xfId="0" applyFont="1" applyFill="1" applyBorder="1" applyAlignment="1">
      <alignment horizontal="center" vertical="center"/>
    </xf>
    <xf numFmtId="2" fontId="347" fillId="2" borderId="8" xfId="0" applyNumberFormat="1" applyFont="1" applyFill="1" applyBorder="1" applyAlignment="1">
      <alignment horizontal="center" vertical="center"/>
    </xf>
    <xf numFmtId="0" fontId="262" fillId="2" borderId="9" xfId="0" applyNumberFormat="1" applyFont="1" applyFill="1" applyBorder="1" applyAlignment="1">
      <alignment horizontal="center" vertical="center"/>
    </xf>
    <xf numFmtId="0" fontId="155" fillId="2" borderId="8" xfId="0" applyNumberFormat="1" applyFont="1" applyFill="1" applyBorder="1" applyAlignment="1">
      <alignment horizontal="center" vertical="center"/>
    </xf>
    <xf numFmtId="1" fontId="16" fillId="2" borderId="8" xfId="0" applyNumberFormat="1" applyFont="1" applyFill="1" applyBorder="1" applyAlignment="1">
      <alignment horizontal="center" vertical="center"/>
    </xf>
    <xf numFmtId="0" fontId="262" fillId="2" borderId="8" xfId="0" applyFont="1" applyFill="1" applyBorder="1" applyAlignment="1">
      <alignment horizontal="center" vertical="center"/>
    </xf>
    <xf numFmtId="0" fontId="141" fillId="2" borderId="6" xfId="0" applyFont="1" applyFill="1" applyBorder="1" applyAlignment="1">
      <alignment horizontal="center" vertical="center"/>
    </xf>
    <xf numFmtId="0" fontId="155" fillId="2" borderId="8" xfId="0" applyFont="1" applyFill="1" applyBorder="1" applyAlignment="1">
      <alignment horizontal="center" vertical="center"/>
    </xf>
    <xf numFmtId="0" fontId="348" fillId="2" borderId="9" xfId="0" applyFont="1" applyFill="1" applyBorder="1" applyAlignment="1">
      <alignment horizontal="center" vertical="center"/>
    </xf>
    <xf numFmtId="0" fontId="29" fillId="2" borderId="8" xfId="0" applyNumberFormat="1" applyFont="1" applyFill="1" applyBorder="1" applyAlignment="1">
      <alignment horizontal="center" vertical="center"/>
    </xf>
    <xf numFmtId="2" fontId="350" fillId="2" borderId="8" xfId="0" applyNumberFormat="1" applyFont="1" applyFill="1" applyBorder="1" applyAlignment="1">
      <alignment horizontal="center" vertical="center"/>
    </xf>
    <xf numFmtId="0" fontId="351" fillId="2" borderId="9" xfId="0" applyNumberFormat="1" applyFont="1" applyFill="1" applyBorder="1" applyAlignment="1">
      <alignment horizontal="center" vertical="center"/>
    </xf>
    <xf numFmtId="1" fontId="176" fillId="2" borderId="8" xfId="0" applyNumberFormat="1" applyFont="1" applyFill="1" applyBorder="1" applyAlignment="1">
      <alignment horizontal="center" vertical="center"/>
    </xf>
    <xf numFmtId="0" fontId="284" fillId="2" borderId="8" xfId="0" applyFont="1" applyFill="1" applyBorder="1" applyAlignment="1">
      <alignment horizontal="center" vertical="center"/>
    </xf>
    <xf numFmtId="0" fontId="98" fillId="2" borderId="6" xfId="0" applyFont="1" applyFill="1" applyBorder="1" applyAlignment="1">
      <alignment horizontal="center" vertical="center"/>
    </xf>
    <xf numFmtId="0" fontId="213" fillId="2" borderId="9" xfId="0" applyFont="1" applyFill="1" applyBorder="1" applyAlignment="1">
      <alignment horizontal="center" vertical="center"/>
    </xf>
    <xf numFmtId="0" fontId="294" fillId="2" borderId="8" xfId="0" applyNumberFormat="1" applyFont="1" applyFill="1" applyBorder="1" applyAlignment="1">
      <alignment horizontal="center" vertical="center"/>
    </xf>
    <xf numFmtId="0" fontId="241" fillId="2" borderId="9" xfId="0" applyNumberFormat="1" applyFont="1" applyFill="1" applyBorder="1" applyAlignment="1">
      <alignment horizontal="center" vertical="center"/>
    </xf>
    <xf numFmtId="1" fontId="163" fillId="2" borderId="8" xfId="0" applyNumberFormat="1" applyFont="1" applyFill="1" applyBorder="1" applyAlignment="1">
      <alignment horizontal="center" vertical="center"/>
    </xf>
    <xf numFmtId="0" fontId="260" fillId="2" borderId="8" xfId="0" applyFont="1" applyFill="1" applyBorder="1" applyAlignment="1">
      <alignment horizontal="center" vertical="center"/>
    </xf>
    <xf numFmtId="0" fontId="341" fillId="2" borderId="9" xfId="0" applyFont="1" applyFill="1" applyBorder="1" applyAlignment="1">
      <alignment horizontal="center" vertical="center"/>
    </xf>
    <xf numFmtId="0" fontId="352" fillId="2" borderId="9" xfId="0" applyFont="1" applyFill="1" applyBorder="1" applyAlignment="1">
      <alignment horizontal="center" vertical="center"/>
    </xf>
    <xf numFmtId="0" fontId="353" fillId="2" borderId="9" xfId="0" applyNumberFormat="1" applyFont="1" applyFill="1" applyBorder="1" applyAlignment="1">
      <alignment horizontal="center" vertical="center"/>
    </xf>
    <xf numFmtId="0" fontId="169" fillId="2" borderId="8" xfId="0" applyNumberFormat="1" applyFont="1" applyFill="1" applyBorder="1" applyAlignment="1">
      <alignment horizontal="center" vertical="center"/>
    </xf>
    <xf numFmtId="49" fontId="219" fillId="2" borderId="8" xfId="0" applyNumberFormat="1" applyFont="1" applyFill="1" applyBorder="1" applyAlignment="1">
      <alignment horizontal="left" vertical="center"/>
    </xf>
    <xf numFmtId="1" fontId="294" fillId="2" borderId="8" xfId="0" applyNumberFormat="1" applyFont="1" applyFill="1" applyBorder="1" applyAlignment="1">
      <alignment horizontal="center" vertical="center"/>
    </xf>
    <xf numFmtId="0" fontId="269" fillId="2" borderId="8" xfId="0" applyFont="1" applyFill="1" applyBorder="1" applyAlignment="1">
      <alignment horizontal="center" vertical="center"/>
    </xf>
    <xf numFmtId="0" fontId="354" fillId="2" borderId="9" xfId="0" applyFont="1" applyFill="1" applyBorder="1" applyAlignment="1">
      <alignment horizontal="center" vertical="center"/>
    </xf>
    <xf numFmtId="0" fontId="176" fillId="2" borderId="8" xfId="0" applyFont="1" applyFill="1" applyBorder="1" applyAlignment="1">
      <alignment horizontal="center" vertical="center"/>
    </xf>
    <xf numFmtId="49" fontId="171" fillId="2" borderId="8" xfId="0" applyNumberFormat="1" applyFont="1" applyFill="1" applyBorder="1" applyAlignment="1">
      <alignment horizontal="left" vertical="center"/>
    </xf>
    <xf numFmtId="1" fontId="172" fillId="2" borderId="8" xfId="0" applyNumberFormat="1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340" fillId="2" borderId="9" xfId="0" applyFont="1" applyFill="1" applyBorder="1" applyAlignment="1">
      <alignment horizontal="center" vertical="center"/>
    </xf>
    <xf numFmtId="2" fontId="345" fillId="2" borderId="8" xfId="0" applyNumberFormat="1" applyFont="1" applyFill="1" applyBorder="1" applyAlignment="1">
      <alignment horizontal="center" vertical="center"/>
    </xf>
    <xf numFmtId="1" fontId="324" fillId="2" borderId="8" xfId="0" applyNumberFormat="1" applyFont="1" applyFill="1" applyBorder="1" applyAlignment="1">
      <alignment horizontal="center" vertical="center"/>
    </xf>
    <xf numFmtId="1" fontId="155" fillId="2" borderId="8" xfId="0" applyNumberFormat="1" applyFont="1" applyFill="1" applyBorder="1" applyAlignment="1">
      <alignment horizontal="center" vertical="center"/>
    </xf>
    <xf numFmtId="0" fontId="276" fillId="2" borderId="8" xfId="0" applyFont="1" applyFill="1" applyBorder="1" applyAlignment="1">
      <alignment horizontal="center" vertical="center"/>
    </xf>
    <xf numFmtId="0" fontId="216" fillId="2" borderId="6" xfId="0" applyFont="1" applyFill="1" applyBorder="1" applyAlignment="1">
      <alignment horizontal="center" vertical="center"/>
    </xf>
    <xf numFmtId="0" fontId="172" fillId="2" borderId="8" xfId="0" applyNumberFormat="1" applyFont="1" applyFill="1" applyBorder="1" applyAlignment="1">
      <alignment horizontal="center" vertical="center"/>
    </xf>
    <xf numFmtId="49" fontId="221" fillId="2" borderId="8" xfId="0" applyNumberFormat="1" applyFont="1" applyFill="1" applyBorder="1" applyAlignment="1">
      <alignment horizontal="left" vertical="center"/>
    </xf>
    <xf numFmtId="1" fontId="29" fillId="2" borderId="8" xfId="0" applyNumberFormat="1" applyFont="1" applyFill="1" applyBorder="1" applyAlignment="1">
      <alignment horizontal="center" vertical="center"/>
    </xf>
    <xf numFmtId="0" fontId="280" fillId="2" borderId="8" xfId="0" applyFont="1" applyFill="1" applyBorder="1" applyAlignment="1">
      <alignment horizontal="center" vertical="center"/>
    </xf>
    <xf numFmtId="0" fontId="347" fillId="2" borderId="8" xfId="0" applyFont="1" applyFill="1" applyBorder="1" applyAlignment="1">
      <alignment horizontal="center" vertical="center"/>
    </xf>
    <xf numFmtId="49" fontId="149" fillId="2" borderId="10" xfId="0" applyNumberFormat="1" applyFont="1" applyFill="1" applyBorder="1" applyAlignment="1">
      <alignment horizontal="center" vertical="center"/>
    </xf>
    <xf numFmtId="2" fontId="150" fillId="2" borderId="11" xfId="0" applyNumberFormat="1" applyFont="1" applyFill="1" applyBorder="1" applyAlignment="1">
      <alignment horizontal="center" vertical="center"/>
    </xf>
    <xf numFmtId="49" fontId="141" fillId="2" borderId="10" xfId="0" applyNumberFormat="1" applyFont="1" applyFill="1" applyBorder="1" applyAlignment="1">
      <alignment horizontal="center" vertical="center"/>
    </xf>
    <xf numFmtId="0" fontId="232" fillId="2" borderId="12" xfId="0" applyNumberFormat="1" applyFont="1" applyFill="1" applyBorder="1" applyAlignment="1">
      <alignment horizontal="center" vertical="center"/>
    </xf>
    <xf numFmtId="0" fontId="320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9" fontId="131" fillId="2" borderId="13" xfId="0" applyNumberFormat="1" applyFont="1" applyFill="1" applyBorder="1" applyAlignment="1">
      <alignment horizontal="center" vertical="center"/>
    </xf>
    <xf numFmtId="0" fontId="131" fillId="2" borderId="13" xfId="0" applyFont="1" applyFill="1" applyBorder="1" applyAlignment="1">
      <alignment horizontal="center" vertical="center"/>
    </xf>
    <xf numFmtId="0" fontId="223" fillId="4" borderId="52" xfId="0" applyFont="1" applyFill="1" applyBorder="1" applyAlignment="1">
      <alignment horizontal="center" vertical="center"/>
    </xf>
    <xf numFmtId="49" fontId="223" fillId="4" borderId="53" xfId="0" applyNumberFormat="1" applyFont="1" applyFill="1" applyBorder="1" applyAlignment="1">
      <alignment horizontal="center" vertical="center"/>
    </xf>
    <xf numFmtId="49" fontId="358" fillId="4" borderId="53" xfId="0" applyNumberFormat="1" applyFont="1" applyFill="1" applyBorder="1" applyAlignment="1">
      <alignment horizontal="center" vertical="center"/>
    </xf>
    <xf numFmtId="49" fontId="154" fillId="4" borderId="54" xfId="0" applyNumberFormat="1" applyFont="1" applyFill="1" applyBorder="1" applyAlignment="1">
      <alignment horizontal="center" vertical="center"/>
    </xf>
    <xf numFmtId="0" fontId="128" fillId="2" borderId="9" xfId="0" applyFont="1" applyFill="1" applyBorder="1" applyAlignment="1">
      <alignment horizontal="center" vertical="center"/>
    </xf>
    <xf numFmtId="49" fontId="128" fillId="6" borderId="53" xfId="0" applyNumberFormat="1" applyFont="1" applyFill="1" applyBorder="1" applyAlignment="1">
      <alignment horizontal="center" vertical="center"/>
    </xf>
    <xf numFmtId="0" fontId="223" fillId="2" borderId="35" xfId="0" applyFont="1" applyFill="1" applyBorder="1" applyAlignment="1">
      <alignment horizontal="center" vertical="center"/>
    </xf>
    <xf numFmtId="49" fontId="224" fillId="4" borderId="52" xfId="0" applyNumberFormat="1" applyFont="1" applyFill="1" applyBorder="1" applyAlignment="1">
      <alignment horizontal="center" vertical="center"/>
    </xf>
    <xf numFmtId="0" fontId="154" fillId="2" borderId="35" xfId="0" applyFont="1" applyFill="1" applyBorder="1" applyAlignment="1">
      <alignment horizontal="center" vertical="center"/>
    </xf>
    <xf numFmtId="49" fontId="154" fillId="4" borderId="52" xfId="0" applyNumberFormat="1" applyFont="1" applyFill="1" applyBorder="1" applyAlignment="1">
      <alignment horizontal="center" vertical="center"/>
    </xf>
    <xf numFmtId="1" fontId="15" fillId="2" borderId="9" xfId="0" applyNumberFormat="1" applyFont="1" applyFill="1" applyBorder="1" applyAlignment="1">
      <alignment horizontal="center" vertical="center"/>
    </xf>
    <xf numFmtId="1" fontId="284" fillId="2" borderId="9" xfId="0" applyNumberFormat="1" applyFont="1" applyFill="1" applyBorder="1" applyAlignment="1">
      <alignment horizontal="center" vertical="center"/>
    </xf>
    <xf numFmtId="0" fontId="245" fillId="2" borderId="35" xfId="0" applyFont="1" applyFill="1" applyBorder="1" applyAlignment="1">
      <alignment horizontal="center" vertical="center"/>
    </xf>
    <xf numFmtId="0" fontId="359" fillId="2" borderId="9" xfId="0" applyNumberFormat="1" applyFont="1" applyFill="1" applyBorder="1" applyAlignment="1">
      <alignment horizontal="center" vertical="center"/>
    </xf>
    <xf numFmtId="0" fontId="95" fillId="2" borderId="35" xfId="0" applyFont="1" applyFill="1" applyBorder="1" applyAlignment="1">
      <alignment horizontal="center" vertical="center"/>
    </xf>
    <xf numFmtId="49" fontId="133" fillId="2" borderId="8" xfId="0" applyNumberFormat="1" applyFont="1" applyFill="1" applyBorder="1" applyAlignment="1">
      <alignment horizontal="left" vertical="center"/>
    </xf>
    <xf numFmtId="1" fontId="245" fillId="2" borderId="8" xfId="0" applyNumberFormat="1" applyFont="1" applyFill="1" applyBorder="1" applyAlignment="1">
      <alignment horizontal="center" vertical="center"/>
    </xf>
    <xf numFmtId="0" fontId="254" fillId="2" borderId="35" xfId="0" applyFont="1" applyFill="1" applyBorder="1" applyAlignment="1">
      <alignment horizontal="center" vertical="center"/>
    </xf>
    <xf numFmtId="0" fontId="362" fillId="2" borderId="9" xfId="0" applyFont="1" applyFill="1" applyBorder="1" applyAlignment="1">
      <alignment horizontal="center" vertical="center"/>
    </xf>
    <xf numFmtId="0" fontId="110" fillId="2" borderId="35" xfId="0" applyFont="1" applyFill="1" applyBorder="1" applyAlignment="1">
      <alignment horizontal="center" vertical="center"/>
    </xf>
    <xf numFmtId="49" fontId="245" fillId="2" borderId="6" xfId="0" applyNumberFormat="1" applyFont="1" applyFill="1" applyBorder="1" applyAlignment="1">
      <alignment horizontal="left" vertical="center"/>
    </xf>
    <xf numFmtId="49" fontId="245" fillId="2" borderId="8" xfId="0" applyNumberFormat="1" applyFont="1" applyFill="1" applyBorder="1" applyAlignment="1">
      <alignment horizontal="center" vertical="center"/>
    </xf>
    <xf numFmtId="2" fontId="245" fillId="2" borderId="8" xfId="0" applyNumberFormat="1" applyFont="1" applyFill="1" applyBorder="1" applyAlignment="1">
      <alignment horizontal="center" vertical="center"/>
    </xf>
    <xf numFmtId="0" fontId="245" fillId="2" borderId="9" xfId="0" applyFont="1" applyFill="1" applyBorder="1" applyAlignment="1">
      <alignment horizontal="center" vertical="center"/>
    </xf>
    <xf numFmtId="0" fontId="245" fillId="2" borderId="8" xfId="0" applyFont="1" applyFill="1" applyBorder="1" applyAlignment="1">
      <alignment horizontal="center" vertical="center"/>
    </xf>
    <xf numFmtId="1" fontId="193" fillId="2" borderId="9" xfId="0" applyNumberFormat="1" applyFont="1" applyFill="1" applyBorder="1" applyAlignment="1">
      <alignment horizontal="center" vertical="center"/>
    </xf>
    <xf numFmtId="1" fontId="326" fillId="2" borderId="9" xfId="0" applyNumberFormat="1" applyFont="1" applyFill="1" applyBorder="1" applyAlignment="1">
      <alignment horizontal="center" vertical="center"/>
    </xf>
    <xf numFmtId="0" fontId="363" fillId="2" borderId="35" xfId="0" applyFont="1" applyFill="1" applyBorder="1" applyAlignment="1">
      <alignment horizontal="center" vertical="center"/>
    </xf>
    <xf numFmtId="0" fontId="163" fillId="2" borderId="8" xfId="0" applyFont="1" applyFill="1" applyBorder="1" applyAlignment="1">
      <alignment horizontal="center" vertical="center"/>
    </xf>
    <xf numFmtId="49" fontId="149" fillId="2" borderId="59" xfId="0" applyNumberFormat="1" applyFont="1" applyFill="1" applyBorder="1" applyAlignment="1">
      <alignment horizontal="center" vertical="center"/>
    </xf>
    <xf numFmtId="2" fontId="150" fillId="2" borderId="59" xfId="0" applyNumberFormat="1" applyFont="1" applyFill="1" applyBorder="1" applyAlignment="1">
      <alignment horizontal="center" vertical="center"/>
    </xf>
    <xf numFmtId="0" fontId="364" fillId="2" borderId="35" xfId="0" applyFont="1" applyFill="1" applyBorder="1" applyAlignment="1">
      <alignment horizontal="center" vertical="center"/>
    </xf>
    <xf numFmtId="0" fontId="365" fillId="2" borderId="9" xfId="0" applyFont="1" applyFill="1" applyBorder="1" applyAlignment="1">
      <alignment horizontal="center" vertical="center"/>
    </xf>
    <xf numFmtId="49" fontId="294" fillId="2" borderId="6" xfId="0" applyNumberFormat="1" applyFont="1" applyFill="1" applyBorder="1" applyAlignment="1">
      <alignment horizontal="left" vertical="center"/>
    </xf>
    <xf numFmtId="49" fontId="366" fillId="2" borderId="8" xfId="0" applyNumberFormat="1" applyFont="1" applyFill="1" applyBorder="1" applyAlignment="1">
      <alignment horizontal="center" vertical="center"/>
    </xf>
    <xf numFmtId="0" fontId="367" fillId="2" borderId="9" xfId="0" applyFont="1" applyFill="1" applyBorder="1" applyAlignment="1">
      <alignment horizontal="center" vertical="center"/>
    </xf>
    <xf numFmtId="1" fontId="233" fillId="2" borderId="9" xfId="0" applyNumberFormat="1" applyFont="1" applyFill="1" applyBorder="1" applyAlignment="1">
      <alignment horizontal="center" vertical="center"/>
    </xf>
    <xf numFmtId="1" fontId="288" fillId="2" borderId="9" xfId="0" applyNumberFormat="1" applyFont="1" applyFill="1" applyBorder="1" applyAlignment="1">
      <alignment horizontal="center" vertical="center"/>
    </xf>
    <xf numFmtId="0" fontId="368" fillId="2" borderId="35" xfId="0" applyFont="1" applyFill="1" applyBorder="1" applyAlignment="1">
      <alignment horizontal="center" vertical="center"/>
    </xf>
    <xf numFmtId="0" fontId="155" fillId="2" borderId="9" xfId="0" applyNumberFormat="1" applyFont="1" applyFill="1" applyBorder="1" applyAlignment="1">
      <alignment horizontal="center" vertical="center"/>
    </xf>
    <xf numFmtId="0" fontId="193" fillId="2" borderId="9" xfId="0" applyNumberFormat="1" applyFont="1" applyFill="1" applyBorder="1" applyAlignment="1">
      <alignment horizontal="center" vertical="center"/>
    </xf>
    <xf numFmtId="0" fontId="292" fillId="2" borderId="58" xfId="0" applyNumberFormat="1" applyFont="1" applyFill="1" applyBorder="1" applyAlignment="1">
      <alignment horizontal="center" vertical="center"/>
    </xf>
    <xf numFmtId="49" fontId="141" fillId="2" borderId="59" xfId="0" applyNumberFormat="1" applyFont="1" applyFill="1" applyBorder="1" applyAlignment="1">
      <alignment horizontal="center" vertical="center"/>
    </xf>
    <xf numFmtId="2" fontId="155" fillId="2" borderId="59" xfId="0" applyNumberFormat="1" applyFont="1" applyFill="1" applyBorder="1" applyAlignment="1">
      <alignment horizontal="center" vertical="center"/>
    </xf>
    <xf numFmtId="2" fontId="269" fillId="2" borderId="59" xfId="0" applyNumberFormat="1" applyFont="1" applyFill="1" applyBorder="1" applyAlignment="1">
      <alignment horizontal="center" vertical="center"/>
    </xf>
    <xf numFmtId="0" fontId="369" fillId="2" borderId="35" xfId="0" applyFont="1" applyFill="1" applyBorder="1" applyAlignment="1">
      <alignment horizontal="center" vertical="center"/>
    </xf>
    <xf numFmtId="0" fontId="370" fillId="2" borderId="8" xfId="0" applyFont="1" applyFill="1" applyBorder="1" applyAlignment="1">
      <alignment horizontal="center" vertical="center"/>
    </xf>
    <xf numFmtId="0" fontId="110" fillId="2" borderId="9" xfId="0" applyFont="1" applyFill="1" applyBorder="1" applyAlignment="1">
      <alignment horizontal="center" vertical="center"/>
    </xf>
    <xf numFmtId="49" fontId="16" fillId="2" borderId="6" xfId="0" applyNumberFormat="1" applyFont="1" applyFill="1" applyBorder="1" applyAlignment="1">
      <alignment horizontal="left" vertical="center"/>
    </xf>
    <xf numFmtId="49" fontId="371" fillId="2" borderId="8" xfId="0" applyNumberFormat="1" applyFont="1" applyFill="1" applyBorder="1" applyAlignment="1">
      <alignment horizontal="center" vertical="center"/>
    </xf>
    <xf numFmtId="0" fontId="372" fillId="2" borderId="9" xfId="0" applyFont="1" applyFill="1" applyBorder="1" applyAlignment="1">
      <alignment horizontal="center" vertical="center"/>
    </xf>
    <xf numFmtId="1" fontId="269" fillId="2" borderId="9" xfId="0" applyNumberFormat="1" applyFont="1" applyFill="1" applyBorder="1" applyAlignment="1">
      <alignment horizontal="center" vertical="center"/>
    </xf>
    <xf numFmtId="1" fontId="276" fillId="2" borderId="9" xfId="0" applyNumberFormat="1" applyFont="1" applyFill="1" applyBorder="1" applyAlignment="1">
      <alignment horizontal="center" vertical="center"/>
    </xf>
    <xf numFmtId="0" fontId="153" fillId="2" borderId="35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159" fillId="2" borderId="8" xfId="0" applyFont="1" applyFill="1" applyBorder="1" applyAlignment="1">
      <alignment horizontal="center" vertical="center"/>
    </xf>
    <xf numFmtId="49" fontId="144" fillId="2" borderId="59" xfId="0" applyNumberFormat="1" applyFont="1" applyFill="1" applyBorder="1" applyAlignment="1">
      <alignment horizontal="center" vertical="center"/>
    </xf>
    <xf numFmtId="2" fontId="159" fillId="2" borderId="59" xfId="0" applyNumberFormat="1" applyFont="1" applyFill="1" applyBorder="1" applyAlignment="1">
      <alignment horizontal="center" vertical="center"/>
    </xf>
    <xf numFmtId="0" fontId="373" fillId="2" borderId="35" xfId="0" applyFont="1" applyFill="1" applyBorder="1" applyAlignment="1">
      <alignment horizontal="center" vertical="center"/>
    </xf>
    <xf numFmtId="0" fontId="304" fillId="2" borderId="6" xfId="0" applyFont="1" applyFill="1" applyBorder="1" applyAlignment="1">
      <alignment horizontal="center" vertical="center"/>
    </xf>
    <xf numFmtId="0" fontId="374" fillId="2" borderId="8" xfId="0" applyFont="1" applyFill="1" applyBorder="1" applyAlignment="1">
      <alignment horizontal="center" vertical="center"/>
    </xf>
    <xf numFmtId="0" fontId="375" fillId="2" borderId="9" xfId="0" applyFont="1" applyFill="1" applyBorder="1" applyAlignment="1">
      <alignment horizontal="center" vertical="center"/>
    </xf>
    <xf numFmtId="49" fontId="345" fillId="2" borderId="6" xfId="0" applyNumberFormat="1" applyFont="1" applyFill="1" applyBorder="1" applyAlignment="1">
      <alignment horizontal="left" vertical="center"/>
    </xf>
    <xf numFmtId="49" fontId="376" fillId="2" borderId="8" xfId="0" applyNumberFormat="1" applyFont="1" applyFill="1" applyBorder="1" applyAlignment="1">
      <alignment horizontal="center" vertical="center"/>
    </xf>
    <xf numFmtId="1" fontId="262" fillId="2" borderId="9" xfId="0" applyNumberFormat="1" applyFont="1" applyFill="1" applyBorder="1" applyAlignment="1">
      <alignment horizontal="center" vertical="center"/>
    </xf>
    <xf numFmtId="1" fontId="241" fillId="2" borderId="9" xfId="0" applyNumberFormat="1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294" fillId="2" borderId="8" xfId="0" applyFont="1" applyFill="1" applyBorder="1" applyAlignment="1">
      <alignment horizontal="center" vertical="center"/>
    </xf>
    <xf numFmtId="0" fontId="160" fillId="2" borderId="8" xfId="0" applyFont="1" applyFill="1" applyBorder="1" applyAlignment="1">
      <alignment horizontal="center" vertical="center"/>
    </xf>
    <xf numFmtId="0" fontId="379" fillId="2" borderId="35" xfId="0" applyFont="1" applyFill="1" applyBorder="1" applyAlignment="1">
      <alignment horizontal="center" vertical="center"/>
    </xf>
    <xf numFmtId="0" fontId="380" fillId="2" borderId="8" xfId="0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left" vertical="center"/>
    </xf>
    <xf numFmtId="49" fontId="0" fillId="2" borderId="8" xfId="0" applyNumberFormat="1" applyFont="1" applyFill="1" applyBorder="1" applyAlignment="1">
      <alignment vertical="center"/>
    </xf>
    <xf numFmtId="2" fontId="0" fillId="2" borderId="8" xfId="0" applyNumberFormat="1" applyFont="1" applyFill="1" applyBorder="1" applyAlignment="1">
      <alignment vertical="center"/>
    </xf>
    <xf numFmtId="0" fontId="169" fillId="2" borderId="8" xfId="0" applyFont="1" applyFill="1" applyBorder="1" applyAlignment="1">
      <alignment horizontal="center" vertical="center"/>
    </xf>
    <xf numFmtId="0" fontId="173" fillId="2" borderId="35" xfId="0" applyFont="1" applyFill="1" applyBorder="1" applyAlignment="1">
      <alignment horizontal="center" vertical="center"/>
    </xf>
    <xf numFmtId="0" fontId="333" fillId="2" borderId="35" xfId="0" applyFont="1" applyFill="1" applyBorder="1" applyAlignment="1">
      <alignment horizontal="center" vertical="center"/>
    </xf>
    <xf numFmtId="0" fontId="105" fillId="2" borderId="6" xfId="0" applyFont="1" applyFill="1" applyBorder="1" applyAlignment="1">
      <alignment horizontal="center" vertical="center"/>
    </xf>
    <xf numFmtId="49" fontId="150" fillId="2" borderId="6" xfId="0" applyNumberFormat="1" applyFont="1" applyFill="1" applyBorder="1" applyAlignment="1">
      <alignment horizontal="left" vertical="center"/>
    </xf>
    <xf numFmtId="49" fontId="382" fillId="2" borderId="8" xfId="0" applyNumberFormat="1" applyFont="1" applyFill="1" applyBorder="1" applyAlignment="1">
      <alignment horizontal="center" vertical="center"/>
    </xf>
    <xf numFmtId="0" fontId="383" fillId="2" borderId="9" xfId="0" applyFont="1" applyFill="1" applyBorder="1" applyAlignment="1">
      <alignment horizontal="center" vertical="center"/>
    </xf>
    <xf numFmtId="0" fontId="384" fillId="2" borderId="35" xfId="0" applyFont="1" applyFill="1" applyBorder="1" applyAlignment="1">
      <alignment horizontal="center" vertical="center"/>
    </xf>
    <xf numFmtId="0" fontId="110" fillId="2" borderId="8" xfId="0" applyFont="1" applyFill="1" applyBorder="1" applyAlignment="1">
      <alignment horizontal="center" vertical="center"/>
    </xf>
    <xf numFmtId="49" fontId="14" fillId="2" borderId="59" xfId="0" applyNumberFormat="1" applyFont="1" applyFill="1" applyBorder="1" applyAlignment="1">
      <alignment horizontal="center" vertical="center"/>
    </xf>
    <xf numFmtId="0" fontId="198" fillId="2" borderId="35" xfId="0" applyFont="1" applyFill="1" applyBorder="1" applyAlignment="1">
      <alignment horizontal="center" vertical="center"/>
    </xf>
    <xf numFmtId="0" fontId="265" fillId="2" borderId="6" xfId="0" applyFont="1" applyFill="1" applyBorder="1" applyAlignment="1">
      <alignment horizontal="center" vertical="center"/>
    </xf>
    <xf numFmtId="0" fontId="386" fillId="2" borderId="8" xfId="0" applyFont="1" applyFill="1" applyBorder="1" applyAlignment="1">
      <alignment horizontal="center" vertical="center"/>
    </xf>
    <xf numFmtId="0" fontId="372" fillId="2" borderId="35" xfId="0" applyFont="1" applyFill="1" applyBorder="1" applyAlignment="1">
      <alignment horizontal="center" vertical="center"/>
    </xf>
    <xf numFmtId="49" fontId="155" fillId="2" borderId="6" xfId="0" applyNumberFormat="1" applyFont="1" applyFill="1" applyBorder="1" applyAlignment="1">
      <alignment horizontal="left" vertical="center"/>
    </xf>
    <xf numFmtId="49" fontId="387" fillId="2" borderId="8" xfId="0" applyNumberFormat="1" applyFont="1" applyFill="1" applyBorder="1" applyAlignment="1">
      <alignment horizontal="center" vertical="center"/>
    </xf>
    <xf numFmtId="0" fontId="388" fillId="2" borderId="9" xfId="0" applyFont="1" applyFill="1" applyBorder="1" applyAlignment="1">
      <alignment horizontal="center" vertical="center"/>
    </xf>
    <xf numFmtId="177" fontId="150" fillId="2" borderId="8" xfId="0" applyNumberFormat="1" applyFont="1" applyFill="1" applyBorder="1" applyAlignment="1">
      <alignment horizontal="center" vertical="center"/>
    </xf>
    <xf numFmtId="0" fontId="294" fillId="2" borderId="35" xfId="0" applyFont="1" applyFill="1" applyBorder="1" applyAlignment="1">
      <alignment horizontal="center" vertical="center"/>
    </xf>
    <xf numFmtId="1" fontId="169" fillId="2" borderId="8" xfId="0" applyNumberFormat="1" applyFont="1" applyFill="1" applyBorder="1" applyAlignment="1">
      <alignment horizontal="center" vertical="center"/>
    </xf>
    <xf numFmtId="0" fontId="389" fillId="2" borderId="58" xfId="0" applyNumberFormat="1" applyFont="1" applyFill="1" applyBorder="1" applyAlignment="1">
      <alignment horizontal="center" vertical="center"/>
    </xf>
    <xf numFmtId="49" fontId="171" fillId="2" borderId="59" xfId="0" applyNumberFormat="1" applyFont="1" applyFill="1" applyBorder="1" applyAlignment="1">
      <alignment horizontal="center" vertical="center"/>
    </xf>
    <xf numFmtId="2" fontId="172" fillId="2" borderId="59" xfId="0" applyNumberFormat="1" applyFont="1" applyFill="1" applyBorder="1" applyAlignment="1">
      <alignment horizontal="center" vertical="center"/>
    </xf>
    <xf numFmtId="2" fontId="326" fillId="2" borderId="59" xfId="0" applyNumberFormat="1" applyFont="1" applyFill="1" applyBorder="1" applyAlignment="1">
      <alignment horizontal="center" vertical="center"/>
    </xf>
    <xf numFmtId="0" fontId="272" fillId="2" borderId="35" xfId="0" applyFont="1" applyFill="1" applyBorder="1" applyAlignment="1">
      <alignment horizontal="center" vertical="center"/>
    </xf>
    <xf numFmtId="49" fontId="188" fillId="2" borderId="6" xfId="0" applyNumberFormat="1" applyFont="1" applyFill="1" applyBorder="1" applyAlignment="1">
      <alignment horizontal="left" vertical="center"/>
    </xf>
    <xf numFmtId="49" fontId="188" fillId="2" borderId="8" xfId="0" applyNumberFormat="1" applyFont="1" applyFill="1" applyBorder="1" applyAlignment="1">
      <alignment horizontal="center" vertical="center"/>
    </xf>
    <xf numFmtId="2" fontId="188" fillId="2" borderId="8" xfId="0" applyNumberFormat="1" applyFont="1" applyFill="1" applyBorder="1" applyAlignment="1">
      <alignment horizontal="center" vertical="center"/>
    </xf>
    <xf numFmtId="0" fontId="188" fillId="2" borderId="9" xfId="0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vertical="center"/>
    </xf>
    <xf numFmtId="0" fontId="390" fillId="2" borderId="35" xfId="0" applyFont="1" applyFill="1" applyBorder="1" applyAlignment="1">
      <alignment horizontal="center" vertical="center"/>
    </xf>
    <xf numFmtId="0" fontId="172" fillId="2" borderId="8" xfId="0" applyFont="1" applyFill="1" applyBorder="1" applyAlignment="1">
      <alignment horizontal="center" vertical="center"/>
    </xf>
    <xf numFmtId="0" fontId="107" fillId="2" borderId="35" xfId="0" applyFont="1" applyFill="1" applyBorder="1" applyAlignment="1">
      <alignment horizontal="center" vertical="center"/>
    </xf>
    <xf numFmtId="0" fontId="243" fillId="2" borderId="58" xfId="0" applyNumberFormat="1" applyFont="1" applyFill="1" applyBorder="1" applyAlignment="1">
      <alignment horizontal="center" vertical="center"/>
    </xf>
    <xf numFmtId="49" fontId="106" fillId="2" borderId="59" xfId="0" applyNumberFormat="1" applyFont="1" applyFill="1" applyBorder="1" applyAlignment="1">
      <alignment horizontal="center" vertical="center"/>
    </xf>
    <xf numFmtId="2" fontId="160" fillId="2" borderId="59" xfId="0" applyNumberFormat="1" applyFont="1" applyFill="1" applyBorder="1" applyAlignment="1">
      <alignment horizontal="center" vertical="center"/>
    </xf>
    <xf numFmtId="2" fontId="194" fillId="2" borderId="59" xfId="0" applyNumberFormat="1" applyFont="1" applyFill="1" applyBorder="1" applyAlignment="1">
      <alignment horizontal="center" vertical="center"/>
    </xf>
    <xf numFmtId="0" fontId="391" fillId="2" borderId="35" xfId="0" applyFont="1" applyFill="1" applyBorder="1" applyAlignment="1">
      <alignment horizontal="center" vertical="center"/>
    </xf>
    <xf numFmtId="0" fontId="392" fillId="2" borderId="6" xfId="0" applyFont="1" applyFill="1" applyBorder="1" applyAlignment="1">
      <alignment horizontal="center" vertical="center"/>
    </xf>
    <xf numFmtId="49" fontId="169" fillId="2" borderId="6" xfId="0" applyNumberFormat="1" applyFont="1" applyFill="1" applyBorder="1" applyAlignment="1">
      <alignment horizontal="left" vertical="center"/>
    </xf>
    <xf numFmtId="49" fontId="393" fillId="2" borderId="8" xfId="0" applyNumberFormat="1" applyFont="1" applyFill="1" applyBorder="1" applyAlignment="1">
      <alignment horizontal="center" vertical="center"/>
    </xf>
    <xf numFmtId="0" fontId="394" fillId="2" borderId="9" xfId="0" applyFont="1" applyFill="1" applyBorder="1" applyAlignment="1">
      <alignment horizontal="center" vertical="center"/>
    </xf>
    <xf numFmtId="0" fontId="29" fillId="2" borderId="35" xfId="0" applyFont="1" applyFill="1" applyBorder="1" applyAlignment="1">
      <alignment horizontal="center" vertical="center"/>
    </xf>
    <xf numFmtId="0" fontId="94" fillId="2" borderId="35" xfId="0" applyFont="1" applyFill="1" applyBorder="1" applyAlignment="1">
      <alignment horizontal="center" vertical="center"/>
    </xf>
    <xf numFmtId="0" fontId="309" fillId="2" borderId="35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1" fontId="245" fillId="2" borderId="11" xfId="0" applyNumberFormat="1" applyFont="1" applyFill="1" applyBorder="1" applyAlignment="1">
      <alignment horizontal="center" vertical="center"/>
    </xf>
    <xf numFmtId="0" fontId="395" fillId="2" borderId="11" xfId="0" applyFont="1" applyFill="1" applyBorder="1" applyAlignment="1">
      <alignment horizontal="center" vertical="center"/>
    </xf>
    <xf numFmtId="0" fontId="110" fillId="2" borderId="1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0" fontId="0" fillId="2" borderId="12" xfId="0" applyFont="1" applyFill="1" applyBorder="1" applyAlignment="1">
      <alignment vertical="center"/>
    </xf>
    <xf numFmtId="0" fontId="0" fillId="2" borderId="63" xfId="0" applyFont="1" applyFill="1" applyBorder="1" applyAlignment="1"/>
    <xf numFmtId="0" fontId="128" fillId="2" borderId="15" xfId="0" applyFont="1" applyFill="1" applyBorder="1" applyAlignment="1">
      <alignment horizontal="center" vertical="center"/>
    </xf>
    <xf numFmtId="0" fontId="397" fillId="2" borderId="64" xfId="0" applyFont="1" applyFill="1" applyBorder="1" applyAlignment="1">
      <alignment horizontal="center" vertical="center"/>
    </xf>
    <xf numFmtId="49" fontId="397" fillId="2" borderId="65" xfId="0" applyNumberFormat="1" applyFont="1" applyFill="1" applyBorder="1" applyAlignment="1">
      <alignment horizontal="center" vertical="center"/>
    </xf>
    <xf numFmtId="49" fontId="398" fillId="2" borderId="65" xfId="0" applyNumberFormat="1" applyFont="1" applyFill="1" applyBorder="1" applyAlignment="1">
      <alignment horizontal="center" vertical="center"/>
    </xf>
    <xf numFmtId="49" fontId="340" fillId="2" borderId="66" xfId="0" applyNumberFormat="1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vertical="center"/>
    </xf>
    <xf numFmtId="49" fontId="216" fillId="2" borderId="6" xfId="0" applyNumberFormat="1" applyFont="1" applyFill="1" applyBorder="1" applyAlignment="1">
      <alignment horizontal="center" vertical="center"/>
    </xf>
    <xf numFmtId="174" fontId="169" fillId="2" borderId="8" xfId="0" applyNumberFormat="1" applyFont="1" applyFill="1" applyBorder="1" applyAlignment="1">
      <alignment horizontal="center" vertical="center"/>
    </xf>
    <xf numFmtId="179" fontId="350" fillId="2" borderId="8" xfId="0" applyNumberFormat="1" applyFont="1" applyFill="1" applyBorder="1" applyAlignment="1">
      <alignment horizontal="center" vertical="center"/>
    </xf>
    <xf numFmtId="0" fontId="342" fillId="2" borderId="15" xfId="0" applyFont="1" applyFill="1" applyBorder="1" applyAlignment="1">
      <alignment horizontal="center" vertical="center"/>
    </xf>
    <xf numFmtId="49" fontId="399" fillId="2" borderId="16" xfId="0" applyNumberFormat="1" applyFont="1" applyFill="1" applyBorder="1" applyAlignment="1">
      <alignment horizontal="center" vertical="center"/>
    </xf>
    <xf numFmtId="166" fontId="245" fillId="2" borderId="8" xfId="0" applyNumberFormat="1" applyFont="1" applyFill="1" applyBorder="1" applyAlignment="1">
      <alignment horizontal="center" vertical="center"/>
    </xf>
    <xf numFmtId="1" fontId="245" fillId="2" borderId="15" xfId="0" applyNumberFormat="1" applyFont="1" applyFill="1" applyBorder="1" applyAlignment="1">
      <alignment horizontal="center" vertical="center"/>
    </xf>
    <xf numFmtId="0" fontId="400" fillId="2" borderId="8" xfId="0" applyFont="1" applyFill="1" applyBorder="1" applyAlignment="1">
      <alignment horizontal="center" vertical="center"/>
    </xf>
    <xf numFmtId="0" fontId="342" fillId="2" borderId="9" xfId="0" applyNumberFormat="1" applyFont="1" applyFill="1" applyBorder="1" applyAlignment="1">
      <alignment horizontal="center" vertical="center"/>
    </xf>
    <xf numFmtId="179" fontId="150" fillId="2" borderId="8" xfId="0" applyNumberFormat="1" applyFont="1" applyFill="1" applyBorder="1" applyAlignment="1">
      <alignment horizontal="center" vertical="center"/>
    </xf>
    <xf numFmtId="0" fontId="346" fillId="2" borderId="15" xfId="0" applyFont="1" applyFill="1" applyBorder="1" applyAlignment="1">
      <alignment horizontal="center" vertical="center"/>
    </xf>
    <xf numFmtId="0" fontId="401" fillId="2" borderId="8" xfId="0" applyFont="1" applyFill="1" applyBorder="1" applyAlignment="1">
      <alignment horizontal="center" vertical="center"/>
    </xf>
    <xf numFmtId="0" fontId="354" fillId="2" borderId="9" xfId="0" applyNumberFormat="1" applyFont="1" applyFill="1" applyBorder="1" applyAlignment="1">
      <alignment horizontal="center" vertical="center"/>
    </xf>
    <xf numFmtId="0" fontId="348" fillId="2" borderId="15" xfId="0" applyFont="1" applyFill="1" applyBorder="1" applyAlignment="1">
      <alignment horizontal="center" vertical="center"/>
    </xf>
    <xf numFmtId="0" fontId="352" fillId="2" borderId="8" xfId="0" applyFont="1" applyFill="1" applyBorder="1" applyAlignment="1">
      <alignment horizontal="center" vertical="center"/>
    </xf>
    <xf numFmtId="178" fontId="163" fillId="2" borderId="8" xfId="0" applyNumberFormat="1" applyFont="1" applyFill="1" applyBorder="1" applyAlignment="1">
      <alignment horizontal="center" vertical="center"/>
    </xf>
    <xf numFmtId="0" fontId="348" fillId="2" borderId="9" xfId="0" applyNumberFormat="1" applyFont="1" applyFill="1" applyBorder="1" applyAlignment="1">
      <alignment horizontal="center" vertical="center"/>
    </xf>
    <xf numFmtId="179" fontId="169" fillId="2" borderId="8" xfId="0" applyNumberFormat="1" applyFont="1" applyFill="1" applyBorder="1" applyAlignment="1">
      <alignment horizontal="center" vertical="center"/>
    </xf>
    <xf numFmtId="0" fontId="274" fillId="2" borderId="15" xfId="0" applyFont="1" applyFill="1" applyBorder="1" applyAlignment="1">
      <alignment horizontal="center" vertical="center"/>
    </xf>
    <xf numFmtId="49" fontId="402" fillId="2" borderId="16" xfId="0" applyNumberFormat="1" applyFont="1" applyFill="1" applyBorder="1" applyAlignment="1">
      <alignment horizontal="center" vertical="center"/>
    </xf>
    <xf numFmtId="0" fontId="403" fillId="2" borderId="8" xfId="0" applyFont="1" applyFill="1" applyBorder="1" applyAlignment="1">
      <alignment horizontal="center" vertical="center"/>
    </xf>
    <xf numFmtId="179" fontId="163" fillId="2" borderId="8" xfId="0" applyNumberFormat="1" applyFont="1" applyFill="1" applyBorder="1" applyAlignment="1">
      <alignment horizontal="center" vertical="center"/>
    </xf>
    <xf numFmtId="49" fontId="216" fillId="2" borderId="8" xfId="0" applyNumberFormat="1" applyFont="1" applyFill="1" applyBorder="1" applyAlignment="1">
      <alignment horizontal="left" vertical="center"/>
    </xf>
    <xf numFmtId="0" fontId="341" fillId="2" borderId="15" xfId="0" applyFont="1" applyFill="1" applyBorder="1" applyAlignment="1">
      <alignment horizontal="center" vertical="center"/>
    </xf>
    <xf numFmtId="167" fontId="245" fillId="2" borderId="8" xfId="0" applyNumberFormat="1" applyFont="1" applyFill="1" applyBorder="1" applyAlignment="1">
      <alignment horizontal="center" vertical="center"/>
    </xf>
    <xf numFmtId="0" fontId="404" fillId="2" borderId="8" xfId="0" applyFont="1" applyFill="1" applyBorder="1" applyAlignment="1">
      <alignment horizontal="center" vertical="center"/>
    </xf>
    <xf numFmtId="175" fontId="16" fillId="2" borderId="8" xfId="0" applyNumberFormat="1" applyFont="1" applyFill="1" applyBorder="1" applyAlignment="1">
      <alignment horizontal="center" vertical="center"/>
    </xf>
    <xf numFmtId="0" fontId="213" fillId="2" borderId="9" xfId="0" applyNumberFormat="1" applyFont="1" applyFill="1" applyBorder="1" applyAlignment="1">
      <alignment horizontal="center" vertical="center"/>
    </xf>
    <xf numFmtId="0" fontId="245" fillId="2" borderId="8" xfId="0" applyNumberFormat="1" applyFont="1" applyFill="1" applyBorder="1" applyAlignment="1">
      <alignment horizontal="center" vertical="center"/>
    </xf>
    <xf numFmtId="0" fontId="340" fillId="2" borderId="15" xfId="0" applyFont="1" applyFill="1" applyBorder="1" applyAlignment="1">
      <alignment horizontal="center" vertical="center"/>
    </xf>
    <xf numFmtId="0" fontId="342" fillId="2" borderId="8" xfId="0" applyFont="1" applyFill="1" applyBorder="1" applyAlignment="1">
      <alignment horizontal="center" vertical="center"/>
    </xf>
    <xf numFmtId="0" fontId="274" fillId="2" borderId="9" xfId="0" applyNumberFormat="1" applyFont="1" applyFill="1" applyBorder="1" applyAlignment="1">
      <alignment horizontal="center" vertical="center"/>
    </xf>
    <xf numFmtId="179" fontId="294" fillId="2" borderId="8" xfId="0" applyNumberFormat="1" applyFont="1" applyFill="1" applyBorder="1" applyAlignment="1">
      <alignment horizontal="center" vertical="center"/>
    </xf>
    <xf numFmtId="0" fontId="344" fillId="2" borderId="15" xfId="0" applyFont="1" applyFill="1" applyBorder="1" applyAlignment="1">
      <alignment horizontal="center" vertical="center"/>
    </xf>
    <xf numFmtId="0" fontId="405" fillId="2" borderId="8" xfId="0" applyFont="1" applyFill="1" applyBorder="1" applyAlignment="1">
      <alignment horizontal="center" vertical="center"/>
    </xf>
    <xf numFmtId="174" fontId="176" fillId="2" borderId="8" xfId="0" applyNumberFormat="1" applyFont="1" applyFill="1" applyBorder="1" applyAlignment="1">
      <alignment horizontal="center" vertical="center"/>
    </xf>
    <xf numFmtId="179" fontId="245" fillId="2" borderId="8" xfId="0" applyNumberFormat="1" applyFont="1" applyFill="1" applyBorder="1" applyAlignment="1">
      <alignment horizontal="center" vertical="center"/>
    </xf>
    <xf numFmtId="0" fontId="354" fillId="2" borderId="15" xfId="0" applyFont="1" applyFill="1" applyBorder="1" applyAlignment="1">
      <alignment horizontal="center" vertical="center"/>
    </xf>
    <xf numFmtId="0" fontId="213" fillId="2" borderId="8" xfId="0" applyFont="1" applyFill="1" applyBorder="1" applyAlignment="1">
      <alignment horizontal="center" vertical="center"/>
    </xf>
    <xf numFmtId="0" fontId="341" fillId="2" borderId="9" xfId="0" applyNumberFormat="1" applyFont="1" applyFill="1" applyBorder="1" applyAlignment="1">
      <alignment horizontal="center" vertical="center"/>
    </xf>
    <xf numFmtId="179" fontId="16" fillId="2" borderId="8" xfId="0" applyNumberFormat="1" applyFont="1" applyFill="1" applyBorder="1" applyAlignment="1">
      <alignment horizontal="center" vertical="center"/>
    </xf>
    <xf numFmtId="0" fontId="16" fillId="2" borderId="8" xfId="0" applyNumberFormat="1" applyFont="1" applyFill="1" applyBorder="1" applyAlignment="1">
      <alignment horizontal="center" vertical="center"/>
    </xf>
    <xf numFmtId="0" fontId="352" fillId="2" borderId="15" xfId="0" applyFont="1" applyFill="1" applyBorder="1" applyAlignment="1">
      <alignment horizontal="center" vertical="center"/>
    </xf>
    <xf numFmtId="0" fontId="340" fillId="2" borderId="8" xfId="0" applyFont="1" applyFill="1" applyBorder="1" applyAlignment="1">
      <alignment horizontal="center" vertical="center"/>
    </xf>
    <xf numFmtId="0" fontId="213" fillId="2" borderId="15" xfId="0" applyFont="1" applyFill="1" applyBorder="1" applyAlignment="1">
      <alignment horizontal="center" vertical="center"/>
    </xf>
    <xf numFmtId="49" fontId="399" fillId="2" borderId="67" xfId="0" applyNumberFormat="1" applyFont="1" applyFill="1" applyBorder="1" applyAlignment="1">
      <alignment horizontal="center" vertical="center"/>
    </xf>
    <xf numFmtId="166" fontId="245" fillId="2" borderId="63" xfId="0" applyNumberFormat="1" applyFont="1" applyFill="1" applyBorder="1" applyAlignment="1">
      <alignment horizontal="center" vertical="center"/>
    </xf>
    <xf numFmtId="2" fontId="245" fillId="2" borderId="63" xfId="0" applyNumberFormat="1" applyFont="1" applyFill="1" applyBorder="1" applyAlignment="1">
      <alignment horizontal="center" vertical="center"/>
    </xf>
    <xf numFmtId="1" fontId="245" fillId="2" borderId="68" xfId="0" applyNumberFormat="1" applyFont="1" applyFill="1" applyBorder="1" applyAlignment="1">
      <alignment horizontal="center" vertical="center"/>
    </xf>
    <xf numFmtId="0" fontId="406" fillId="2" borderId="8" xfId="0" applyFont="1" applyFill="1" applyBorder="1" applyAlignment="1">
      <alignment horizontal="center" vertical="center"/>
    </xf>
    <xf numFmtId="0" fontId="0" fillId="2" borderId="65" xfId="0" applyFont="1" applyFill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0" fontId="0" fillId="2" borderId="19" xfId="0" applyFont="1" applyFill="1" applyBorder="1" applyAlignment="1">
      <alignment vertical="center"/>
    </xf>
    <xf numFmtId="0" fontId="0" fillId="0" borderId="0" xfId="0" applyNumberFormat="1" applyFont="1" applyAlignment="1"/>
    <xf numFmtId="0" fontId="409" fillId="2" borderId="8" xfId="0" applyFont="1" applyFill="1" applyBorder="1" applyAlignment="1">
      <alignment horizontal="center" vertical="center"/>
    </xf>
    <xf numFmtId="0" fontId="410" fillId="2" borderId="8" xfId="0" applyFont="1" applyFill="1" applyBorder="1" applyAlignment="1">
      <alignment horizontal="center" vertical="center"/>
    </xf>
    <xf numFmtId="49" fontId="411" fillId="2" borderId="8" xfId="0" applyNumberFormat="1" applyFont="1" applyFill="1" applyBorder="1" applyAlignment="1">
      <alignment horizontal="center" vertical="center"/>
    </xf>
    <xf numFmtId="0" fontId="164" fillId="2" borderId="8" xfId="0" applyFont="1" applyFill="1" applyBorder="1" applyAlignment="1"/>
    <xf numFmtId="0" fontId="164" fillId="2" borderId="8" xfId="0" applyFont="1" applyFill="1" applyBorder="1" applyAlignment="1">
      <alignment vertical="center"/>
    </xf>
    <xf numFmtId="2" fontId="170" fillId="2" borderId="8" xfId="0" applyNumberFormat="1" applyFont="1" applyFill="1" applyBorder="1" applyAlignment="1">
      <alignment horizontal="center" vertical="center"/>
    </xf>
    <xf numFmtId="0" fontId="273" fillId="2" borderId="8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49" fillId="0" borderId="8" xfId="0" applyFont="1" applyBorder="1" applyAlignment="1">
      <alignment horizontal="center"/>
    </xf>
    <xf numFmtId="0" fontId="219" fillId="0" borderId="8" xfId="0" applyFont="1" applyBorder="1" applyAlignment="1">
      <alignment horizontal="center"/>
    </xf>
    <xf numFmtId="0" fontId="133" fillId="0" borderId="8" xfId="0" applyFont="1" applyBorder="1" applyAlignment="1">
      <alignment horizontal="center"/>
    </xf>
    <xf numFmtId="0" fontId="414" fillId="0" borderId="8" xfId="0" applyFont="1" applyBorder="1" applyAlignment="1">
      <alignment horizontal="center"/>
    </xf>
    <xf numFmtId="0" fontId="137" fillId="0" borderId="8" xfId="0" applyFont="1" applyBorder="1" applyAlignment="1">
      <alignment horizontal="center"/>
    </xf>
    <xf numFmtId="0" fontId="418" fillId="2" borderId="8" xfId="0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/>
    </xf>
    <xf numFmtId="49" fontId="14" fillId="0" borderId="8" xfId="0" applyNumberFormat="1" applyFont="1" applyBorder="1" applyAlignment="1">
      <alignment horizontal="center"/>
    </xf>
    <xf numFmtId="0" fontId="138" fillId="0" borderId="8" xfId="0" applyFont="1" applyBorder="1" applyAlignment="1">
      <alignment horizontal="center"/>
    </xf>
    <xf numFmtId="0" fontId="141" fillId="0" borderId="8" xfId="0" applyFont="1" applyBorder="1" applyAlignment="1">
      <alignment horizontal="center"/>
    </xf>
    <xf numFmtId="0" fontId="416" fillId="0" borderId="8" xfId="0" applyFont="1" applyBorder="1" applyAlignment="1">
      <alignment horizontal="center"/>
    </xf>
    <xf numFmtId="0" fontId="219" fillId="2" borderId="8" xfId="0" applyFont="1" applyFill="1" applyBorder="1" applyAlignment="1">
      <alignment horizontal="center"/>
    </xf>
    <xf numFmtId="0" fontId="99" fillId="0" borderId="8" xfId="0" applyFont="1" applyBorder="1" applyAlignment="1">
      <alignment horizontal="center"/>
    </xf>
    <xf numFmtId="49" fontId="137" fillId="2" borderId="8" xfId="0" applyNumberFormat="1" applyFont="1" applyFill="1" applyBorder="1" applyAlignment="1">
      <alignment horizontal="center"/>
    </xf>
    <xf numFmtId="49" fontId="422" fillId="0" borderId="8" xfId="0" applyNumberFormat="1" applyFont="1" applyBorder="1" applyAlignment="1">
      <alignment horizontal="center"/>
    </xf>
    <xf numFmtId="0" fontId="274" fillId="2" borderId="8" xfId="0" applyFont="1" applyFill="1" applyBorder="1" applyAlignment="1">
      <alignment horizontal="center" vertical="center"/>
    </xf>
    <xf numFmtId="0" fontId="348" fillId="2" borderId="8" xfId="0" applyFont="1" applyFill="1" applyBorder="1" applyAlignment="1">
      <alignment horizontal="center" vertical="center"/>
    </xf>
    <xf numFmtId="0" fontId="425" fillId="2" borderId="8" xfId="0" applyFont="1" applyFill="1" applyBorder="1" applyAlignment="1">
      <alignment horizontal="center" vertical="center"/>
    </xf>
    <xf numFmtId="0" fontId="28" fillId="0" borderId="8" xfId="0" applyFont="1" applyBorder="1" applyAlignment="1">
      <alignment horizontal="center"/>
    </xf>
    <xf numFmtId="49" fontId="138" fillId="2" borderId="8" xfId="0" applyNumberFormat="1" applyFont="1" applyFill="1" applyBorder="1" applyAlignment="1">
      <alignment horizontal="center"/>
    </xf>
    <xf numFmtId="49" fontId="138" fillId="0" borderId="8" xfId="0" applyNumberFormat="1" applyFont="1" applyBorder="1" applyAlignment="1">
      <alignment horizontal="center"/>
    </xf>
    <xf numFmtId="0" fontId="98" fillId="0" borderId="8" xfId="0" applyFont="1" applyBorder="1" applyAlignment="1">
      <alignment horizontal="center"/>
    </xf>
    <xf numFmtId="0" fontId="136" fillId="2" borderId="8" xfId="0" applyFont="1" applyFill="1" applyBorder="1" applyAlignment="1">
      <alignment horizontal="center" vertical="center"/>
    </xf>
    <xf numFmtId="0" fontId="341" fillId="2" borderId="8" xfId="0" applyFont="1" applyFill="1" applyBorder="1" applyAlignment="1">
      <alignment horizontal="center" vertical="center"/>
    </xf>
    <xf numFmtId="0" fontId="430" fillId="2" borderId="8" xfId="0" applyFont="1" applyFill="1" applyBorder="1" applyAlignment="1">
      <alignment horizontal="center" vertical="center"/>
    </xf>
    <xf numFmtId="0" fontId="199" fillId="2" borderId="8" xfId="0" applyFont="1" applyFill="1" applyBorder="1" applyAlignment="1">
      <alignment horizontal="center" vertical="center"/>
    </xf>
    <xf numFmtId="0" fontId="429" fillId="0" borderId="8" xfId="0" applyFont="1" applyBorder="1" applyAlignment="1">
      <alignment horizontal="center"/>
    </xf>
    <xf numFmtId="0" fontId="433" fillId="2" borderId="8" xfId="0" applyFont="1" applyFill="1" applyBorder="1" applyAlignment="1">
      <alignment horizontal="center" vertical="center"/>
    </xf>
    <xf numFmtId="0" fontId="171" fillId="0" borderId="8" xfId="0" applyFont="1" applyBorder="1" applyAlignment="1">
      <alignment horizontal="center"/>
    </xf>
    <xf numFmtId="0" fontId="421" fillId="0" borderId="8" xfId="0" applyFont="1" applyBorder="1" applyAlignment="1">
      <alignment horizontal="center"/>
    </xf>
    <xf numFmtId="0" fontId="435" fillId="2" borderId="8" xfId="0" applyFont="1" applyFill="1" applyBorder="1" applyAlignment="1">
      <alignment horizontal="center" vertical="center"/>
    </xf>
    <xf numFmtId="0" fontId="423" fillId="0" borderId="8" xfId="0" applyFont="1" applyBorder="1" applyAlignment="1">
      <alignment horizontal="center"/>
    </xf>
    <xf numFmtId="0" fontId="354" fillId="2" borderId="8" xfId="0" applyFont="1" applyFill="1" applyBorder="1" applyAlignment="1">
      <alignment horizontal="center" vertical="center"/>
    </xf>
    <xf numFmtId="0" fontId="437" fillId="2" borderId="8" xfId="0" applyFont="1" applyFill="1" applyBorder="1" applyAlignment="1">
      <alignment horizontal="center" vertical="center"/>
    </xf>
    <xf numFmtId="0" fontId="182" fillId="0" borderId="8" xfId="0" applyFont="1" applyBorder="1" applyAlignment="1">
      <alignment horizontal="center"/>
    </xf>
    <xf numFmtId="0" fontId="221" fillId="2" borderId="8" xfId="0" applyFont="1" applyFill="1" applyBorder="1" applyAlignment="1">
      <alignment horizontal="center"/>
    </xf>
    <xf numFmtId="0" fontId="0" fillId="0" borderId="53" xfId="0" applyFont="1" applyBorder="1" applyAlignment="1"/>
    <xf numFmtId="0" fontId="427" fillId="0" borderId="8" xfId="0" applyFont="1" applyBorder="1" applyAlignment="1">
      <alignment horizontal="center"/>
    </xf>
    <xf numFmtId="0" fontId="111" fillId="2" borderId="8" xfId="0" applyFont="1" applyFill="1" applyBorder="1" applyAlignment="1">
      <alignment horizontal="center" vertical="center"/>
    </xf>
    <xf numFmtId="0" fontId="78" fillId="0" borderId="8" xfId="0" applyFont="1" applyBorder="1" applyAlignment="1"/>
    <xf numFmtId="0" fontId="78" fillId="2" borderId="8" xfId="0" applyFont="1" applyFill="1" applyBorder="1" applyAlignment="1">
      <alignment horizontal="right" vertical="center"/>
    </xf>
    <xf numFmtId="49" fontId="0" fillId="0" borderId="8" xfId="0" applyNumberFormat="1" applyFont="1" applyBorder="1" applyAlignment="1"/>
    <xf numFmtId="0" fontId="440" fillId="2" borderId="8" xfId="0" applyFont="1" applyFill="1" applyBorder="1" applyAlignment="1">
      <alignment horizontal="center" vertical="center"/>
    </xf>
    <xf numFmtId="0" fontId="99" fillId="2" borderId="8" xfId="0" applyFont="1" applyFill="1" applyBorder="1" applyAlignment="1">
      <alignment horizontal="center"/>
    </xf>
    <xf numFmtId="0" fontId="182" fillId="2" borderId="8" xfId="0" applyFont="1" applyFill="1" applyBorder="1" applyAlignment="1">
      <alignment horizontal="center"/>
    </xf>
    <xf numFmtId="0" fontId="218" fillId="0" borderId="8" xfId="0" applyFont="1" applyBorder="1" applyAlignment="1">
      <alignment horizontal="center"/>
    </xf>
    <xf numFmtId="0" fontId="218" fillId="2" borderId="8" xfId="0" applyFont="1" applyFill="1" applyBorder="1" applyAlignment="1">
      <alignment horizontal="center"/>
    </xf>
    <xf numFmtId="2" fontId="441" fillId="0" borderId="8" xfId="0" applyNumberFormat="1" applyFont="1" applyBorder="1" applyAlignment="1"/>
    <xf numFmtId="0" fontId="412" fillId="2" borderId="8" xfId="0" applyFont="1" applyFill="1" applyBorder="1" applyAlignment="1">
      <alignment horizontal="center" vertical="center"/>
    </xf>
    <xf numFmtId="0" fontId="422" fillId="0" borderId="8" xfId="0" applyFont="1" applyBorder="1" applyAlignment="1">
      <alignment horizontal="center"/>
    </xf>
    <xf numFmtId="0" fontId="422" fillId="2" borderId="8" xfId="0" applyFont="1" applyFill="1" applyBorder="1" applyAlignment="1">
      <alignment horizontal="center"/>
    </xf>
    <xf numFmtId="2" fontId="0" fillId="2" borderId="21" xfId="0" applyNumberFormat="1" applyFont="1" applyFill="1" applyBorder="1" applyAlignment="1"/>
    <xf numFmtId="0" fontId="0" fillId="0" borderId="0" xfId="0" applyNumberFormat="1" applyFont="1" applyAlignment="1"/>
    <xf numFmtId="0" fontId="0" fillId="2" borderId="2" xfId="0" applyFont="1" applyFill="1" applyBorder="1" applyAlignment="1">
      <alignment vertical="center"/>
    </xf>
    <xf numFmtId="0" fontId="0" fillId="2" borderId="71" xfId="0" applyFont="1" applyFill="1" applyBorder="1" applyAlignment="1">
      <alignment vertical="center"/>
    </xf>
    <xf numFmtId="0" fontId="443" fillId="2" borderId="6" xfId="0" applyFont="1" applyFill="1" applyBorder="1" applyAlignment="1">
      <alignment horizontal="center" vertical="center"/>
    </xf>
    <xf numFmtId="49" fontId="444" fillId="2" borderId="8" xfId="0" applyNumberFormat="1" applyFont="1" applyFill="1" applyBorder="1" applyAlignment="1">
      <alignment horizontal="center" vertical="center"/>
    </xf>
    <xf numFmtId="49" fontId="445" fillId="2" borderId="8" xfId="0" applyNumberFormat="1" applyFont="1" applyFill="1" applyBorder="1" applyAlignment="1">
      <alignment horizontal="center" vertical="center"/>
    </xf>
    <xf numFmtId="0" fontId="443" fillId="2" borderId="9" xfId="0" applyFont="1" applyFill="1" applyBorder="1" applyAlignment="1">
      <alignment horizontal="center" vertical="center"/>
    </xf>
    <xf numFmtId="49" fontId="446" fillId="2" borderId="6" xfId="0" applyNumberFormat="1" applyFont="1" applyFill="1" applyBorder="1" applyAlignment="1">
      <alignment horizontal="center" vertical="center"/>
    </xf>
    <xf numFmtId="0" fontId="115" fillId="2" borderId="8" xfId="0" applyNumberFormat="1" applyFont="1" applyFill="1" applyBorder="1" applyAlignment="1">
      <alignment horizontal="center" vertical="center"/>
    </xf>
    <xf numFmtId="0" fontId="284" fillId="2" borderId="8" xfId="0" applyNumberFormat="1" applyFont="1" applyFill="1" applyBorder="1" applyAlignment="1">
      <alignment horizontal="center" vertical="center"/>
    </xf>
    <xf numFmtId="0" fontId="260" fillId="2" borderId="8" xfId="0" applyNumberFormat="1" applyFont="1" applyFill="1" applyBorder="1" applyAlignment="1">
      <alignment horizontal="center" vertical="center"/>
    </xf>
    <xf numFmtId="0" fontId="447" fillId="2" borderId="8" xfId="0" applyNumberFormat="1" applyFont="1" applyFill="1" applyBorder="1" applyAlignment="1">
      <alignment horizontal="center" vertical="center"/>
    </xf>
    <xf numFmtId="0" fontId="15" fillId="2" borderId="8" xfId="0" applyNumberFormat="1" applyFont="1" applyFill="1" applyBorder="1" applyAlignment="1">
      <alignment horizontal="center" vertical="center"/>
    </xf>
    <xf numFmtId="0" fontId="448" fillId="2" borderId="8" xfId="0" applyNumberFormat="1" applyFont="1" applyFill="1" applyBorder="1" applyAlignment="1">
      <alignment horizontal="center" vertical="center"/>
    </xf>
    <xf numFmtId="0" fontId="241" fillId="2" borderId="8" xfId="0" applyNumberFormat="1" applyFont="1" applyFill="1" applyBorder="1" applyAlignment="1">
      <alignment horizontal="center" vertical="center"/>
    </xf>
    <xf numFmtId="0" fontId="320" fillId="2" borderId="8" xfId="0" applyNumberFormat="1" applyFont="1" applyFill="1" applyBorder="1" applyAlignment="1">
      <alignment horizontal="center" vertical="center"/>
    </xf>
    <xf numFmtId="0" fontId="262" fillId="2" borderId="8" xfId="0" applyNumberFormat="1" applyFont="1" applyFill="1" applyBorder="1" applyAlignment="1">
      <alignment horizontal="center" vertical="center"/>
    </xf>
    <xf numFmtId="49" fontId="446" fillId="2" borderId="9" xfId="0" applyNumberFormat="1" applyFont="1" applyFill="1" applyBorder="1" applyAlignment="1">
      <alignment horizontal="center" vertical="center"/>
    </xf>
    <xf numFmtId="164" fontId="115" fillId="2" borderId="8" xfId="0" applyNumberFormat="1" applyFont="1" applyFill="1" applyBorder="1" applyAlignment="1">
      <alignment horizontal="center" vertical="center"/>
    </xf>
    <xf numFmtId="164" fontId="284" fillId="2" borderId="8" xfId="0" applyNumberFormat="1" applyFont="1" applyFill="1" applyBorder="1" applyAlignment="1">
      <alignment horizontal="center" vertical="center"/>
    </xf>
    <xf numFmtId="164" fontId="276" fillId="2" borderId="8" xfId="0" applyNumberFormat="1" applyFont="1" applyFill="1" applyBorder="1" applyAlignment="1">
      <alignment horizontal="center" vertical="center"/>
    </xf>
    <xf numFmtId="164" fontId="448" fillId="2" borderId="8" xfId="0" applyNumberFormat="1" applyFont="1" applyFill="1" applyBorder="1" applyAlignment="1">
      <alignment horizontal="center" vertical="center"/>
    </xf>
    <xf numFmtId="164" fontId="233" fillId="2" borderId="8" xfId="0" applyNumberFormat="1" applyFont="1" applyFill="1" applyBorder="1" applyAlignment="1">
      <alignment horizontal="center" vertical="center"/>
    </xf>
    <xf numFmtId="164" fontId="241" fillId="2" borderId="8" xfId="0" applyNumberFormat="1" applyFont="1" applyFill="1" applyBorder="1" applyAlignment="1">
      <alignment horizontal="center" vertical="center"/>
    </xf>
    <xf numFmtId="164" fontId="262" fillId="2" borderId="8" xfId="0" applyNumberFormat="1" applyFont="1" applyFill="1" applyBorder="1" applyAlignment="1">
      <alignment horizontal="center" vertical="center"/>
    </xf>
    <xf numFmtId="49" fontId="407" fillId="2" borderId="6" xfId="0" applyNumberFormat="1" applyFont="1" applyFill="1" applyBorder="1" applyAlignment="1">
      <alignment horizontal="center" vertical="center"/>
    </xf>
    <xf numFmtId="164" fontId="211" fillId="2" borderId="8" xfId="0" applyNumberFormat="1" applyFont="1" applyFill="1" applyBorder="1" applyAlignment="1">
      <alignment horizontal="center" vertical="center"/>
    </xf>
    <xf numFmtId="164" fontId="362" fillId="2" borderId="8" xfId="0" applyNumberFormat="1" applyFont="1" applyFill="1" applyBorder="1" applyAlignment="1">
      <alignment horizontal="center" vertical="center"/>
    </xf>
    <xf numFmtId="164" fontId="394" fillId="2" borderId="8" xfId="0" applyNumberFormat="1" applyFont="1" applyFill="1" applyBorder="1" applyAlignment="1">
      <alignment horizontal="center" vertical="center"/>
    </xf>
    <xf numFmtId="164" fontId="372" fillId="2" borderId="8" xfId="0" applyNumberFormat="1" applyFont="1" applyFill="1" applyBorder="1" applyAlignment="1">
      <alignment horizontal="center" vertical="center"/>
    </xf>
    <xf numFmtId="164" fontId="449" fillId="2" borderId="8" xfId="0" applyNumberFormat="1" applyFont="1" applyFill="1" applyBorder="1" applyAlignment="1">
      <alignment horizontal="center" vertical="center"/>
    </xf>
    <xf numFmtId="164" fontId="383" fillId="2" borderId="8" xfId="0" applyNumberFormat="1" applyFont="1" applyFill="1" applyBorder="1" applyAlignment="1">
      <alignment horizontal="center" vertical="center"/>
    </xf>
    <xf numFmtId="164" fontId="367" fillId="2" borderId="8" xfId="0" applyNumberFormat="1" applyFont="1" applyFill="1" applyBorder="1" applyAlignment="1">
      <alignment horizontal="center" vertical="center"/>
    </xf>
    <xf numFmtId="164" fontId="450" fillId="2" borderId="8" xfId="0" applyNumberFormat="1" applyFont="1" applyFill="1" applyBorder="1" applyAlignment="1">
      <alignment horizontal="center" vertical="center"/>
    </xf>
    <xf numFmtId="49" fontId="407" fillId="2" borderId="9" xfId="0" applyNumberFormat="1" applyFont="1" applyFill="1" applyBorder="1" applyAlignment="1">
      <alignment horizontal="center" vertical="center"/>
    </xf>
    <xf numFmtId="0" fontId="110" fillId="2" borderId="8" xfId="0" applyNumberFormat="1" applyFont="1" applyFill="1" applyBorder="1" applyAlignment="1">
      <alignment horizontal="center" vertical="center"/>
    </xf>
    <xf numFmtId="0" fontId="345" fillId="2" borderId="8" xfId="0" applyNumberFormat="1" applyFont="1" applyFill="1" applyBorder="1" applyAlignment="1">
      <alignment horizontal="center" vertical="center"/>
    </xf>
    <xf numFmtId="0" fontId="173" fillId="2" borderId="8" xfId="0" applyNumberFormat="1" applyFont="1" applyFill="1" applyBorder="1" applyAlignment="1">
      <alignment horizontal="center" vertical="center"/>
    </xf>
    <xf numFmtId="0" fontId="347" fillId="2" borderId="8" xfId="0" applyNumberFormat="1" applyFont="1" applyFill="1" applyBorder="1" applyAlignment="1">
      <alignment horizontal="center" vertical="center"/>
    </xf>
    <xf numFmtId="2" fontId="173" fillId="2" borderId="8" xfId="0" applyNumberFormat="1" applyFont="1" applyFill="1" applyBorder="1" applyAlignment="1">
      <alignment horizontal="center" vertical="center"/>
    </xf>
    <xf numFmtId="0" fontId="407" fillId="2" borderId="6" xfId="0" applyFont="1" applyFill="1" applyBorder="1" applyAlignment="1">
      <alignment horizontal="center" vertical="center"/>
    </xf>
    <xf numFmtId="0" fontId="407" fillId="2" borderId="9" xfId="0" applyFont="1" applyFill="1" applyBorder="1" applyAlignment="1">
      <alignment horizontal="center" vertical="center"/>
    </xf>
    <xf numFmtId="166" fontId="284" fillId="2" borderId="8" xfId="0" applyNumberFormat="1" applyFont="1" applyFill="1" applyBorder="1" applyAlignment="1">
      <alignment horizontal="center" vertical="center"/>
    </xf>
    <xf numFmtId="166" fontId="260" fillId="2" borderId="8" xfId="0" applyNumberFormat="1" applyFont="1" applyFill="1" applyBorder="1" applyAlignment="1">
      <alignment horizontal="center" vertical="center"/>
    </xf>
    <xf numFmtId="167" fontId="447" fillId="2" borderId="8" xfId="0" applyNumberFormat="1" applyFont="1" applyFill="1" applyBorder="1" applyAlignment="1">
      <alignment horizontal="center" vertical="center"/>
    </xf>
    <xf numFmtId="167" fontId="448" fillId="2" borderId="8" xfId="0" applyNumberFormat="1" applyFont="1" applyFill="1" applyBorder="1" applyAlignment="1">
      <alignment horizontal="center" vertical="center"/>
    </xf>
    <xf numFmtId="167" fontId="233" fillId="2" borderId="8" xfId="0" applyNumberFormat="1" applyFont="1" applyFill="1" applyBorder="1" applyAlignment="1">
      <alignment horizontal="center" vertical="center"/>
    </xf>
    <xf numFmtId="167" fontId="241" fillId="2" borderId="8" xfId="0" applyNumberFormat="1" applyFont="1" applyFill="1" applyBorder="1" applyAlignment="1">
      <alignment horizontal="center" vertical="center"/>
    </xf>
    <xf numFmtId="166" fontId="320" fillId="2" borderId="8" xfId="0" applyNumberFormat="1" applyFont="1" applyFill="1" applyBorder="1" applyAlignment="1">
      <alignment horizontal="center" vertical="center"/>
    </xf>
    <xf numFmtId="166" fontId="262" fillId="2" borderId="8" xfId="0" applyNumberFormat="1" applyFont="1" applyFill="1" applyBorder="1" applyAlignment="1">
      <alignment horizontal="center" vertical="center"/>
    </xf>
    <xf numFmtId="167" fontId="176" fillId="2" borderId="8" xfId="0" applyNumberFormat="1" applyFont="1" applyFill="1" applyBorder="1" applyAlignment="1">
      <alignment horizontal="center" vertical="center"/>
    </xf>
    <xf numFmtId="166" fontId="345" fillId="2" borderId="8" xfId="0" applyNumberFormat="1" applyFont="1" applyFill="1" applyBorder="1" applyAlignment="1">
      <alignment horizontal="center" vertical="center"/>
    </xf>
    <xf numFmtId="167" fontId="169" fillId="2" borderId="8" xfId="0" applyNumberFormat="1" applyFont="1" applyFill="1" applyBorder="1" applyAlignment="1">
      <alignment horizontal="center" vertical="center"/>
    </xf>
    <xf numFmtId="166" fontId="16" fillId="2" borderId="8" xfId="0" applyNumberFormat="1" applyFont="1" applyFill="1" applyBorder="1" applyAlignment="1">
      <alignment horizontal="center" vertical="center"/>
    </xf>
    <xf numFmtId="167" fontId="0" fillId="2" borderId="8" xfId="0" applyNumberFormat="1" applyFont="1" applyFill="1" applyBorder="1" applyAlignment="1">
      <alignment vertical="center"/>
    </xf>
    <xf numFmtId="167" fontId="150" fillId="2" borderId="8" xfId="0" applyNumberFormat="1" applyFont="1" applyFill="1" applyBorder="1" applyAlignment="1">
      <alignment horizontal="center" vertical="center"/>
    </xf>
    <xf numFmtId="166" fontId="347" fillId="2" borderId="8" xfId="0" applyNumberFormat="1" applyFont="1" applyFill="1" applyBorder="1" applyAlignment="1">
      <alignment horizontal="center" vertical="center"/>
    </xf>
    <xf numFmtId="166" fontId="0" fillId="2" borderId="8" xfId="0" applyNumberFormat="1" applyFont="1" applyFill="1" applyBorder="1" applyAlignment="1">
      <alignment vertical="center"/>
    </xf>
    <xf numFmtId="166" fontId="176" fillId="2" borderId="8" xfId="0" applyNumberFormat="1" applyFont="1" applyFill="1" applyBorder="1" applyAlignment="1">
      <alignment horizontal="center" vertical="center"/>
    </xf>
    <xf numFmtId="167" fontId="451" fillId="2" borderId="8" xfId="0" applyNumberFormat="1" applyFont="1" applyFill="1" applyBorder="1" applyAlignment="1">
      <alignment horizontal="center" vertical="center"/>
    </xf>
    <xf numFmtId="165" fontId="115" fillId="2" borderId="8" xfId="0" applyNumberFormat="1" applyFont="1" applyFill="1" applyBorder="1" applyAlignment="1">
      <alignment horizontal="center" vertical="center"/>
    </xf>
    <xf numFmtId="165" fontId="211" fillId="2" borderId="8" xfId="0" applyNumberFormat="1" applyFont="1" applyFill="1" applyBorder="1" applyAlignment="1">
      <alignment horizontal="center" vertical="center"/>
    </xf>
    <xf numFmtId="165" fontId="362" fillId="2" borderId="8" xfId="0" applyNumberFormat="1" applyFont="1" applyFill="1" applyBorder="1" applyAlignment="1">
      <alignment horizontal="center" vertical="center"/>
    </xf>
    <xf numFmtId="165" fontId="394" fillId="2" borderId="8" xfId="0" applyNumberFormat="1" applyFont="1" applyFill="1" applyBorder="1" applyAlignment="1">
      <alignment horizontal="center" vertical="center"/>
    </xf>
    <xf numFmtId="165" fontId="372" fillId="2" borderId="8" xfId="0" applyNumberFormat="1" applyFont="1" applyFill="1" applyBorder="1" applyAlignment="1">
      <alignment horizontal="center" vertical="center"/>
    </xf>
    <xf numFmtId="165" fontId="449" fillId="2" borderId="8" xfId="0" applyNumberFormat="1" applyFont="1" applyFill="1" applyBorder="1" applyAlignment="1">
      <alignment horizontal="center" vertical="center"/>
    </xf>
    <xf numFmtId="165" fontId="383" fillId="2" borderId="8" xfId="0" applyNumberFormat="1" applyFont="1" applyFill="1" applyBorder="1" applyAlignment="1">
      <alignment horizontal="center" vertical="center"/>
    </xf>
    <xf numFmtId="165" fontId="367" fillId="2" borderId="8" xfId="0" applyNumberFormat="1" applyFont="1" applyFill="1" applyBorder="1" applyAlignment="1">
      <alignment horizontal="center" vertical="center"/>
    </xf>
    <xf numFmtId="181" fontId="29" fillId="2" borderId="8" xfId="0" applyNumberFormat="1" applyFont="1" applyFill="1" applyBorder="1" applyAlignment="1">
      <alignment horizontal="center" vertical="center"/>
    </xf>
    <xf numFmtId="49" fontId="407" fillId="2" borderId="72" xfId="0" applyNumberFormat="1" applyFont="1" applyFill="1" applyBorder="1" applyAlignment="1">
      <alignment horizontal="center" vertical="center"/>
    </xf>
    <xf numFmtId="49" fontId="407" fillId="2" borderId="73" xfId="0" applyNumberFormat="1" applyFont="1" applyFill="1" applyBorder="1" applyAlignment="1">
      <alignment horizontal="center" vertical="center"/>
    </xf>
    <xf numFmtId="0" fontId="390" fillId="2" borderId="74" xfId="0" applyFont="1" applyFill="1" applyBorder="1" applyAlignment="1">
      <alignment horizontal="center" vertical="center"/>
    </xf>
    <xf numFmtId="2" fontId="0" fillId="2" borderId="75" xfId="0" applyNumberFormat="1" applyFont="1" applyFill="1" applyBorder="1" applyAlignment="1">
      <alignment horizontal="center" vertical="center"/>
    </xf>
    <xf numFmtId="2" fontId="0" fillId="2" borderId="75" xfId="0" applyNumberFormat="1" applyFont="1" applyFill="1" applyBorder="1" applyAlignment="1">
      <alignment vertical="center"/>
    </xf>
    <xf numFmtId="2" fontId="347" fillId="2" borderId="75" xfId="0" applyNumberFormat="1" applyFont="1" applyFill="1" applyBorder="1" applyAlignment="1">
      <alignment horizontal="center" vertical="center"/>
    </xf>
    <xf numFmtId="0" fontId="390" fillId="2" borderId="76" xfId="0" applyFont="1" applyFill="1" applyBorder="1" applyAlignment="1">
      <alignment horizontal="center" vertical="center"/>
    </xf>
    <xf numFmtId="49" fontId="137" fillId="2" borderId="77" xfId="0" applyNumberFormat="1" applyFont="1" applyFill="1" applyBorder="1" applyAlignment="1">
      <alignment horizontal="center" vertical="center"/>
    </xf>
    <xf numFmtId="0" fontId="176" fillId="2" borderId="41" xfId="0" applyFont="1" applyFill="1" applyBorder="1" applyAlignment="1">
      <alignment horizontal="center" vertical="center"/>
    </xf>
    <xf numFmtId="0" fontId="345" fillId="2" borderId="41" xfId="0" applyFont="1" applyFill="1" applyBorder="1" applyAlignment="1">
      <alignment horizontal="center" vertical="center"/>
    </xf>
    <xf numFmtId="0" fontId="169" fillId="2" borderId="41" xfId="0" applyFont="1" applyFill="1" applyBorder="1" applyAlignment="1">
      <alignment horizontal="center" vertical="center"/>
    </xf>
    <xf numFmtId="0" fontId="16" fillId="2" borderId="41" xfId="0" applyFont="1" applyFill="1" applyBorder="1" applyAlignment="1">
      <alignment horizontal="center" vertical="center"/>
    </xf>
    <xf numFmtId="0" fontId="150" fillId="2" borderId="41" xfId="0" applyFont="1" applyFill="1" applyBorder="1" applyAlignment="1">
      <alignment horizontal="center" vertical="center"/>
    </xf>
    <xf numFmtId="0" fontId="347" fillId="2" borderId="41" xfId="0" applyFont="1" applyFill="1" applyBorder="1" applyAlignment="1">
      <alignment horizontal="center" vertical="center"/>
    </xf>
    <xf numFmtId="49" fontId="137" fillId="2" borderId="60" xfId="0" applyNumberFormat="1" applyFont="1" applyFill="1" applyBorder="1" applyAlignment="1">
      <alignment horizontal="center" vertical="center"/>
    </xf>
    <xf numFmtId="49" fontId="14" fillId="2" borderId="77" xfId="0" applyNumberFormat="1" applyFont="1" applyFill="1" applyBorder="1" applyAlignment="1">
      <alignment horizontal="center" vertical="center"/>
    </xf>
    <xf numFmtId="49" fontId="14" fillId="2" borderId="60" xfId="0" applyNumberFormat="1" applyFont="1" applyFill="1" applyBorder="1" applyAlignment="1">
      <alignment horizontal="center" vertical="center"/>
    </xf>
    <xf numFmtId="49" fontId="138" fillId="2" borderId="77" xfId="0" applyNumberFormat="1" applyFont="1" applyFill="1" applyBorder="1" applyAlignment="1">
      <alignment horizontal="center" vertical="center"/>
    </xf>
    <xf numFmtId="49" fontId="138" fillId="2" borderId="60" xfId="0" applyNumberFormat="1" applyFont="1" applyFill="1" applyBorder="1" applyAlignment="1">
      <alignment horizontal="center" vertical="center"/>
    </xf>
    <xf numFmtId="49" fontId="138" fillId="2" borderId="77" xfId="0" applyNumberFormat="1" applyFont="1" applyFill="1" applyBorder="1" applyAlignment="1">
      <alignment horizontal="center"/>
    </xf>
    <xf numFmtId="49" fontId="138" fillId="2" borderId="60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>
      <alignment vertical="center"/>
    </xf>
    <xf numFmtId="0" fontId="87" fillId="2" borderId="8" xfId="0" applyNumberFormat="1" applyFont="1" applyFill="1" applyBorder="1" applyAlignment="1">
      <alignment horizontal="center" vertical="center"/>
    </xf>
    <xf numFmtId="0" fontId="454" fillId="2" borderId="8" xfId="0" applyNumberFormat="1" applyFont="1" applyFill="1" applyBorder="1" applyAlignment="1">
      <alignment horizontal="center" vertical="center"/>
    </xf>
    <xf numFmtId="0" fontId="90" fillId="2" borderId="8" xfId="0" applyNumberFormat="1" applyFont="1" applyFill="1" applyBorder="1" applyAlignment="1">
      <alignment horizontal="center" vertical="center"/>
    </xf>
    <xf numFmtId="0" fontId="77" fillId="2" borderId="8" xfId="0" applyNumberFormat="1" applyFont="1" applyFill="1" applyBorder="1" applyAlignment="1">
      <alignment horizontal="center" vertical="center"/>
    </xf>
    <xf numFmtId="0" fontId="426" fillId="2" borderId="8" xfId="0" applyNumberFormat="1" applyFont="1" applyFill="1" applyBorder="1" applyAlignment="1">
      <alignment horizontal="center" vertical="center"/>
    </xf>
    <xf numFmtId="0" fontId="92" fillId="2" borderId="8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49" fontId="455" fillId="2" borderId="8" xfId="0" applyNumberFormat="1" applyFont="1" applyFill="1" applyBorder="1" applyAlignment="1">
      <alignment horizontal="center" vertical="center"/>
    </xf>
    <xf numFmtId="49" fontId="456" fillId="2" borderId="8" xfId="0" applyNumberFormat="1" applyFont="1" applyFill="1" applyBorder="1" applyAlignment="1">
      <alignment horizontal="center" vertical="center"/>
    </xf>
    <xf numFmtId="0" fontId="451" fillId="2" borderId="8" xfId="0" applyNumberFormat="1" applyFont="1" applyFill="1" applyBorder="1" applyAlignment="1">
      <alignment horizontal="center" vertical="center"/>
    </xf>
    <xf numFmtId="179" fontId="115" fillId="2" borderId="8" xfId="0" applyNumberFormat="1" applyFont="1" applyFill="1" applyBorder="1" applyAlignment="1">
      <alignment horizontal="center" vertical="center"/>
    </xf>
    <xf numFmtId="179" fontId="284" fillId="2" borderId="8" xfId="0" applyNumberFormat="1" applyFont="1" applyFill="1" applyBorder="1" applyAlignment="1">
      <alignment horizontal="center" vertical="center"/>
    </xf>
    <xf numFmtId="179" fontId="260" fillId="2" borderId="8" xfId="0" applyNumberFormat="1" applyFont="1" applyFill="1" applyBorder="1" applyAlignment="1">
      <alignment horizontal="center" vertical="center"/>
    </xf>
    <xf numFmtId="179" fontId="276" fillId="2" borderId="8" xfId="0" applyNumberFormat="1" applyFont="1" applyFill="1" applyBorder="1" applyAlignment="1">
      <alignment horizontal="center" vertical="center"/>
    </xf>
    <xf numFmtId="179" fontId="15" fillId="2" borderId="8" xfId="0" applyNumberFormat="1" applyFont="1" applyFill="1" applyBorder="1" applyAlignment="1">
      <alignment horizontal="center" vertical="center"/>
    </xf>
    <xf numFmtId="179" fontId="269" fillId="2" borderId="8" xfId="0" applyNumberFormat="1" applyFont="1" applyFill="1" applyBorder="1" applyAlignment="1">
      <alignment horizontal="center" vertical="center"/>
    </xf>
    <xf numFmtId="179" fontId="233" fillId="2" borderId="8" xfId="0" applyNumberFormat="1" applyFont="1" applyFill="1" applyBorder="1" applyAlignment="1">
      <alignment horizontal="center" vertical="center"/>
    </xf>
    <xf numFmtId="179" fontId="241" fillId="2" borderId="8" xfId="0" applyNumberFormat="1" applyFont="1" applyFill="1" applyBorder="1" applyAlignment="1">
      <alignment horizontal="center" vertical="center"/>
    </xf>
    <xf numFmtId="179" fontId="320" fillId="2" borderId="8" xfId="0" applyNumberFormat="1" applyFont="1" applyFill="1" applyBorder="1" applyAlignment="1">
      <alignment horizontal="center" vertical="center"/>
    </xf>
    <xf numFmtId="179" fontId="262" fillId="2" borderId="8" xfId="0" applyNumberFormat="1" applyFont="1" applyFill="1" applyBorder="1" applyAlignment="1">
      <alignment horizontal="center" vertical="center"/>
    </xf>
    <xf numFmtId="0" fontId="390" fillId="2" borderId="7" xfId="0" applyFont="1" applyFill="1" applyBorder="1" applyAlignment="1">
      <alignment horizontal="center" vertical="center"/>
    </xf>
    <xf numFmtId="0" fontId="390" fillId="2" borderId="6" xfId="0" applyFont="1" applyFill="1" applyBorder="1" applyAlignment="1">
      <alignment horizontal="center" vertical="center"/>
    </xf>
    <xf numFmtId="166" fontId="115" fillId="2" borderId="8" xfId="0" applyNumberFormat="1" applyFont="1" applyFill="1" applyBorder="1" applyAlignment="1">
      <alignment horizontal="center" vertical="center"/>
    </xf>
    <xf numFmtId="166" fontId="276" fillId="2" borderId="8" xfId="0" applyNumberFormat="1" applyFont="1" applyFill="1" applyBorder="1" applyAlignment="1">
      <alignment horizontal="center" vertical="center"/>
    </xf>
    <xf numFmtId="167" fontId="269" fillId="2" borderId="8" xfId="0" applyNumberFormat="1" applyFont="1" applyFill="1" applyBorder="1" applyAlignment="1">
      <alignment horizontal="center" vertical="center"/>
    </xf>
    <xf numFmtId="0" fontId="457" fillId="2" borderId="6" xfId="0" applyFont="1" applyFill="1" applyBorder="1" applyAlignment="1">
      <alignment horizontal="center" vertical="center"/>
    </xf>
    <xf numFmtId="0" fontId="457" fillId="2" borderId="7" xfId="0" applyFont="1" applyFill="1" applyBorder="1" applyAlignment="1">
      <alignment horizontal="center" vertical="center"/>
    </xf>
    <xf numFmtId="166" fontId="110" fillId="2" borderId="8" xfId="0" applyNumberFormat="1" applyFont="1" applyFill="1" applyBorder="1" applyAlignment="1">
      <alignment horizontal="center" vertical="center"/>
    </xf>
    <xf numFmtId="166" fontId="169" fillId="2" borderId="8" xfId="0" applyNumberFormat="1" applyFont="1" applyFill="1" applyBorder="1" applyAlignment="1">
      <alignment horizontal="center" vertical="center"/>
    </xf>
    <xf numFmtId="167" fontId="155" fillId="2" borderId="8" xfId="0" applyNumberFormat="1" applyFont="1" applyFill="1" applyBorder="1" applyAlignment="1">
      <alignment horizontal="center" vertical="center"/>
    </xf>
    <xf numFmtId="167" fontId="294" fillId="2" borderId="8" xfId="0" applyNumberFormat="1" applyFont="1" applyFill="1" applyBorder="1" applyAlignment="1">
      <alignment horizontal="center" vertical="center"/>
    </xf>
    <xf numFmtId="166" fontId="29" fillId="2" borderId="8" xfId="0" applyNumberFormat="1" applyFont="1" applyFill="1" applyBorder="1" applyAlignment="1">
      <alignment horizontal="center" vertical="center"/>
    </xf>
    <xf numFmtId="49" fontId="458" fillId="3" borderId="8" xfId="0" applyNumberFormat="1" applyFont="1" applyFill="1" applyBorder="1" applyAlignment="1">
      <alignment horizontal="center" vertical="center"/>
    </xf>
    <xf numFmtId="2" fontId="458" fillId="3" borderId="8" xfId="0" applyNumberFormat="1" applyFont="1" applyFill="1" applyBorder="1" applyAlignment="1">
      <alignment horizontal="center" vertical="center"/>
    </xf>
    <xf numFmtId="49" fontId="407" fillId="2" borderId="8" xfId="0" applyNumberFormat="1" applyFont="1" applyFill="1" applyBorder="1" applyAlignment="1">
      <alignment horizontal="center" vertical="center"/>
    </xf>
    <xf numFmtId="49" fontId="459" fillId="2" borderId="6" xfId="0" applyNumberFormat="1" applyFont="1" applyFill="1" applyBorder="1" applyAlignment="1">
      <alignment horizontal="center" vertical="center"/>
    </xf>
    <xf numFmtId="49" fontId="460" fillId="2" borderId="8" xfId="0" applyNumberFormat="1" applyFont="1" applyFill="1" applyBorder="1" applyAlignment="1">
      <alignment horizontal="center" vertical="center"/>
    </xf>
    <xf numFmtId="0" fontId="458" fillId="3" borderId="8" xfId="0" applyNumberFormat="1" applyFont="1" applyFill="1" applyBorder="1" applyAlignment="1">
      <alignment horizontal="center" vertical="center"/>
    </xf>
    <xf numFmtId="182" fontId="458" fillId="2" borderId="8" xfId="0" applyNumberFormat="1" applyFont="1" applyFill="1" applyBorder="1" applyAlignment="1">
      <alignment horizontal="center" vertical="center"/>
    </xf>
    <xf numFmtId="183" fontId="407" fillId="2" borderId="8" xfId="0" applyNumberFormat="1" applyFont="1" applyFill="1" applyBorder="1" applyAlignment="1">
      <alignment horizontal="center" vertical="center"/>
    </xf>
    <xf numFmtId="0" fontId="362" fillId="2" borderId="8" xfId="0" applyNumberFormat="1" applyFont="1" applyFill="1" applyBorder="1" applyAlignment="1">
      <alignment horizontal="center" vertical="center"/>
    </xf>
    <xf numFmtId="0" fontId="365" fillId="2" borderId="8" xfId="0" applyNumberFormat="1" applyFont="1" applyFill="1" applyBorder="1" applyAlignment="1">
      <alignment horizontal="center" vertical="center"/>
    </xf>
    <xf numFmtId="0" fontId="394" fillId="2" borderId="8" xfId="0" applyNumberFormat="1" applyFont="1" applyFill="1" applyBorder="1" applyAlignment="1">
      <alignment horizontal="center" vertical="center"/>
    </xf>
    <xf numFmtId="0" fontId="372" fillId="2" borderId="8" xfId="0" applyNumberFormat="1" applyFont="1" applyFill="1" applyBorder="1" applyAlignment="1">
      <alignment horizontal="center" vertical="center"/>
    </xf>
    <xf numFmtId="0" fontId="388" fillId="2" borderId="8" xfId="0" applyNumberFormat="1" applyFont="1" applyFill="1" applyBorder="1" applyAlignment="1">
      <alignment horizontal="center" vertical="center"/>
    </xf>
    <xf numFmtId="0" fontId="383" fillId="2" borderId="8" xfId="0" applyNumberFormat="1" applyFont="1" applyFill="1" applyBorder="1" applyAlignment="1">
      <alignment horizontal="center" vertical="center"/>
    </xf>
    <xf numFmtId="0" fontId="38" fillId="2" borderId="8" xfId="0" applyNumberFormat="1" applyFont="1" applyFill="1" applyBorder="1" applyAlignment="1">
      <alignment horizontal="center" vertical="center"/>
    </xf>
    <xf numFmtId="0" fontId="39" fillId="2" borderId="8" xfId="0" applyNumberFormat="1" applyFont="1" applyFill="1" applyBorder="1" applyAlignment="1">
      <alignment horizontal="center" vertical="center"/>
    </xf>
    <xf numFmtId="0" fontId="450" fillId="2" borderId="8" xfId="0" applyNumberFormat="1" applyFont="1" applyFill="1" applyBorder="1" applyAlignment="1">
      <alignment horizontal="center" vertical="center"/>
    </xf>
    <xf numFmtId="0" fontId="446" fillId="2" borderId="9" xfId="0" applyFont="1" applyFill="1" applyBorder="1" applyAlignment="1">
      <alignment horizontal="center" vertical="center"/>
    </xf>
    <xf numFmtId="0" fontId="362" fillId="2" borderId="8" xfId="0" applyFont="1" applyFill="1" applyBorder="1" applyAlignment="1">
      <alignment horizontal="center" vertical="center"/>
    </xf>
    <xf numFmtId="0" fontId="394" fillId="2" borderId="8" xfId="0" applyFont="1" applyFill="1" applyBorder="1" applyAlignment="1">
      <alignment horizontal="center" vertical="center"/>
    </xf>
    <xf numFmtId="0" fontId="372" fillId="2" borderId="8" xfId="0" applyFont="1" applyFill="1" applyBorder="1" applyAlignment="1">
      <alignment horizontal="center" vertical="center"/>
    </xf>
    <xf numFmtId="0" fontId="388" fillId="2" borderId="8" xfId="0" applyFont="1" applyFill="1" applyBorder="1" applyAlignment="1">
      <alignment horizontal="center" vertical="center"/>
    </xf>
    <xf numFmtId="0" fontId="383" fillId="2" borderId="8" xfId="0" applyFont="1" applyFill="1" applyBorder="1" applyAlignment="1">
      <alignment horizontal="center" vertical="center"/>
    </xf>
    <xf numFmtId="0" fontId="38" fillId="2" borderId="8" xfId="0" applyFont="1" applyFill="1" applyBorder="1" applyAlignment="1">
      <alignment horizontal="center" vertical="center"/>
    </xf>
    <xf numFmtId="0" fontId="39" fillId="2" borderId="8" xfId="0" applyFont="1" applyFill="1" applyBorder="1" applyAlignment="1">
      <alignment horizontal="center" vertical="center"/>
    </xf>
    <xf numFmtId="0" fontId="407" fillId="2" borderId="81" xfId="0" applyFont="1" applyFill="1" applyBorder="1" applyAlignment="1">
      <alignment horizontal="center" vertical="center"/>
    </xf>
    <xf numFmtId="49" fontId="33" fillId="2" borderId="69" xfId="0" applyNumberFormat="1" applyFont="1" applyFill="1" applyBorder="1" applyAlignment="1">
      <alignment horizontal="center" vertical="center"/>
    </xf>
    <xf numFmtId="49" fontId="204" fillId="2" borderId="69" xfId="0" applyNumberFormat="1" applyFont="1" applyFill="1" applyBorder="1" applyAlignment="1">
      <alignment horizontal="center" vertical="center"/>
    </xf>
    <xf numFmtId="0" fontId="372" fillId="2" borderId="69" xfId="0" applyFont="1" applyFill="1" applyBorder="1" applyAlignment="1">
      <alignment horizontal="center" vertical="center"/>
    </xf>
    <xf numFmtId="0" fontId="388" fillId="2" borderId="69" xfId="0" applyFont="1" applyFill="1" applyBorder="1" applyAlignment="1">
      <alignment horizontal="center" vertical="center"/>
    </xf>
    <xf numFmtId="0" fontId="383" fillId="2" borderId="69" xfId="0" applyFont="1" applyFill="1" applyBorder="1" applyAlignment="1">
      <alignment horizontal="center" vertical="center"/>
    </xf>
    <xf numFmtId="0" fontId="38" fillId="2" borderId="69" xfId="0" applyFont="1" applyFill="1" applyBorder="1" applyAlignment="1">
      <alignment horizontal="center" vertical="center"/>
    </xf>
    <xf numFmtId="0" fontId="39" fillId="2" borderId="69" xfId="0" applyFont="1" applyFill="1" applyBorder="1" applyAlignment="1">
      <alignment horizontal="center" vertical="center"/>
    </xf>
    <xf numFmtId="0" fontId="461" fillId="2" borderId="69" xfId="0" applyFont="1" applyFill="1" applyBorder="1" applyAlignment="1">
      <alignment horizontal="center" vertical="center"/>
    </xf>
    <xf numFmtId="49" fontId="462" fillId="2" borderId="76" xfId="0" applyNumberFormat="1" applyFont="1" applyFill="1" applyBorder="1" applyAlignment="1">
      <alignment horizontal="center" vertical="center"/>
    </xf>
    <xf numFmtId="49" fontId="137" fillId="2" borderId="58" xfId="0" applyNumberFormat="1" applyFont="1" applyFill="1" applyBorder="1" applyAlignment="1">
      <alignment horizontal="center" vertical="center"/>
    </xf>
    <xf numFmtId="1" fontId="37" fillId="2" borderId="59" xfId="0" applyNumberFormat="1" applyFont="1" applyFill="1" applyBorder="1" applyAlignment="1">
      <alignment horizontal="center" vertical="center"/>
    </xf>
    <xf numFmtId="0" fontId="176" fillId="2" borderId="59" xfId="0" applyFont="1" applyFill="1" applyBorder="1" applyAlignment="1">
      <alignment horizontal="center" vertical="center"/>
    </xf>
    <xf numFmtId="0" fontId="172" fillId="2" borderId="59" xfId="0" applyFont="1" applyFill="1" applyBorder="1" applyAlignment="1">
      <alignment horizontal="center" vertical="center"/>
    </xf>
    <xf numFmtId="0" fontId="169" fillId="2" borderId="59" xfId="0" applyFont="1" applyFill="1" applyBorder="1" applyAlignment="1">
      <alignment horizontal="center" vertical="center"/>
    </xf>
    <xf numFmtId="0" fontId="16" fillId="2" borderId="59" xfId="0" applyFont="1" applyFill="1" applyBorder="1" applyAlignment="1">
      <alignment horizontal="center" vertical="center"/>
    </xf>
    <xf numFmtId="0" fontId="155" fillId="2" borderId="59" xfId="0" applyFont="1" applyFill="1" applyBorder="1" applyAlignment="1">
      <alignment horizontal="center" vertical="center"/>
    </xf>
    <xf numFmtId="0" fontId="463" fillId="2" borderId="59" xfId="0" applyFont="1" applyFill="1" applyBorder="1" applyAlignment="1">
      <alignment horizontal="center" vertical="center"/>
    </xf>
    <xf numFmtId="0" fontId="160" fillId="2" borderId="59" xfId="0" applyFont="1" applyFill="1" applyBorder="1" applyAlignment="1">
      <alignment horizontal="center" vertical="center"/>
    </xf>
    <xf numFmtId="0" fontId="347" fillId="2" borderId="59" xfId="0" applyFont="1" applyFill="1" applyBorder="1" applyAlignment="1">
      <alignment horizontal="center" vertical="center"/>
    </xf>
    <xf numFmtId="0" fontId="159" fillId="2" borderId="59" xfId="0" applyFont="1" applyFill="1" applyBorder="1" applyAlignment="1">
      <alignment horizontal="center" vertical="center"/>
    </xf>
    <xf numFmtId="49" fontId="14" fillId="2" borderId="58" xfId="0" applyNumberFormat="1" applyFont="1" applyFill="1" applyBorder="1" applyAlignment="1">
      <alignment horizontal="center" vertical="center"/>
    </xf>
    <xf numFmtId="0" fontId="37" fillId="2" borderId="59" xfId="0" applyFont="1" applyFill="1" applyBorder="1" applyAlignment="1">
      <alignment horizontal="center" vertical="center"/>
    </xf>
    <xf numFmtId="49" fontId="138" fillId="2" borderId="58" xfId="0" applyNumberFormat="1" applyFont="1" applyFill="1" applyBorder="1" applyAlignment="1">
      <alignment horizontal="center" vertical="center"/>
    </xf>
    <xf numFmtId="49" fontId="138" fillId="2" borderId="58" xfId="0" applyNumberFormat="1" applyFont="1" applyFill="1" applyBorder="1" applyAlignment="1">
      <alignment horizontal="center"/>
    </xf>
    <xf numFmtId="0" fontId="160" fillId="2" borderId="8" xfId="0" applyNumberFormat="1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vertical="center"/>
    </xf>
    <xf numFmtId="0" fontId="0" fillId="0" borderId="0" xfId="0" applyNumberFormat="1" applyFont="1" applyAlignment="1"/>
    <xf numFmtId="0" fontId="0" fillId="0" borderId="82" xfId="0" applyFont="1" applyBorder="1" applyAlignment="1"/>
    <xf numFmtId="0" fontId="0" fillId="2" borderId="83" xfId="0" applyFont="1" applyFill="1" applyBorder="1" applyAlignment="1">
      <alignment vertical="center"/>
    </xf>
    <xf numFmtId="49" fontId="464" fillId="2" borderId="8" xfId="0" applyNumberFormat="1" applyFont="1" applyFill="1" applyBorder="1" applyAlignment="1">
      <alignment horizontal="center" vertical="center"/>
    </xf>
    <xf numFmtId="0" fontId="465" fillId="2" borderId="9" xfId="0" applyFont="1" applyFill="1" applyBorder="1" applyAlignment="1">
      <alignment horizontal="center" vertical="center"/>
    </xf>
    <xf numFmtId="49" fontId="109" fillId="2" borderId="6" xfId="0" applyNumberFormat="1" applyFont="1" applyFill="1" applyBorder="1" applyAlignment="1">
      <alignment horizontal="center" vertical="center"/>
    </xf>
    <xf numFmtId="0" fontId="211" fillId="2" borderId="8" xfId="0" applyNumberFormat="1" applyFont="1" applyFill="1" applyBorder="1" applyAlignment="1">
      <alignment horizontal="center" vertical="center"/>
    </xf>
    <xf numFmtId="49" fontId="109" fillId="2" borderId="9" xfId="0" applyNumberFormat="1" applyFont="1" applyFill="1" applyBorder="1" applyAlignment="1">
      <alignment horizontal="center" vertical="center"/>
    </xf>
    <xf numFmtId="184" fontId="110" fillId="2" borderId="8" xfId="0" applyNumberFormat="1" applyFont="1" applyFill="1" applyBorder="1" applyAlignment="1">
      <alignment horizontal="center" vertical="center"/>
    </xf>
    <xf numFmtId="184" fontId="345" fillId="2" borderId="8" xfId="0" applyNumberFormat="1" applyFont="1" applyFill="1" applyBorder="1" applyAlignment="1">
      <alignment horizontal="center" vertical="center"/>
    </xf>
    <xf numFmtId="184" fontId="169" fillId="2" borderId="8" xfId="0" applyNumberFormat="1" applyFont="1" applyFill="1" applyBorder="1" applyAlignment="1">
      <alignment horizontal="center" vertical="center"/>
    </xf>
    <xf numFmtId="184" fontId="16" fillId="2" borderId="8" xfId="0" applyNumberFormat="1" applyFont="1" applyFill="1" applyBorder="1" applyAlignment="1">
      <alignment horizontal="center" vertical="center"/>
    </xf>
    <xf numFmtId="184" fontId="29" fillId="2" borderId="8" xfId="0" applyNumberFormat="1" applyFont="1" applyFill="1" applyBorder="1" applyAlignment="1">
      <alignment horizontal="center" vertical="center"/>
    </xf>
    <xf numFmtId="167" fontId="15" fillId="2" borderId="8" xfId="0" applyNumberFormat="1" applyFont="1" applyFill="1" applyBorder="1" applyAlignment="1">
      <alignment horizontal="center" vertical="center"/>
    </xf>
    <xf numFmtId="166" fontId="269" fillId="2" borderId="8" xfId="0" applyNumberFormat="1" applyFont="1" applyFill="1" applyBorder="1" applyAlignment="1">
      <alignment horizontal="center" vertical="center"/>
    </xf>
    <xf numFmtId="166" fontId="194" fillId="2" borderId="8" xfId="0" applyNumberFormat="1" applyFont="1" applyFill="1" applyBorder="1" applyAlignment="1">
      <alignment horizontal="center" vertical="center"/>
    </xf>
    <xf numFmtId="167" fontId="320" fillId="2" borderId="8" xfId="0" applyNumberFormat="1" applyFont="1" applyFill="1" applyBorder="1" applyAlignment="1">
      <alignment horizontal="center" vertical="center"/>
    </xf>
    <xf numFmtId="169" fontId="394" fillId="2" borderId="8" xfId="0" applyNumberFormat="1" applyFont="1" applyFill="1" applyBorder="1" applyAlignment="1">
      <alignment horizontal="center" vertical="center"/>
    </xf>
    <xf numFmtId="0" fontId="446" fillId="2" borderId="6" xfId="0" applyFont="1" applyFill="1" applyBorder="1" applyAlignment="1">
      <alignment horizontal="center" vertical="center"/>
    </xf>
    <xf numFmtId="49" fontId="407" fillId="2" borderId="76" xfId="0" applyNumberFormat="1" applyFont="1" applyFill="1" applyBorder="1" applyAlignment="1">
      <alignment horizontal="center" vertical="center"/>
    </xf>
    <xf numFmtId="0" fontId="110" fillId="2" borderId="41" xfId="0" applyFont="1" applyFill="1" applyBorder="1" applyAlignment="1">
      <alignment horizontal="center" vertical="center"/>
    </xf>
    <xf numFmtId="0" fontId="173" fillId="2" borderId="41" xfId="0" applyFont="1" applyFill="1" applyBorder="1" applyAlignment="1">
      <alignment horizontal="center" vertical="center"/>
    </xf>
    <xf numFmtId="0" fontId="294" fillId="2" borderId="41" xfId="0" applyFont="1" applyFill="1" applyBorder="1" applyAlignment="1">
      <alignment horizontal="center" vertical="center"/>
    </xf>
    <xf numFmtId="0" fontId="29" fillId="2" borderId="78" xfId="0" applyFont="1" applyFill="1" applyBorder="1" applyAlignment="1">
      <alignment horizontal="center" vertical="center"/>
    </xf>
    <xf numFmtId="2" fontId="467" fillId="2" borderId="8" xfId="0" applyNumberFormat="1" applyFont="1" applyFill="1" applyBorder="1" applyAlignment="1">
      <alignment horizontal="center" vertical="center"/>
    </xf>
    <xf numFmtId="2" fontId="468" fillId="2" borderId="8" xfId="0" applyNumberFormat="1" applyFont="1" applyFill="1" applyBorder="1" applyAlignment="1">
      <alignment horizontal="center" vertical="center"/>
    </xf>
    <xf numFmtId="2" fontId="469" fillId="2" borderId="8" xfId="0" applyNumberFormat="1" applyFont="1" applyFill="1" applyBorder="1" applyAlignment="1">
      <alignment horizontal="center" vertical="center"/>
    </xf>
    <xf numFmtId="2" fontId="470" fillId="2" borderId="8" xfId="0" applyNumberFormat="1" applyFont="1" applyFill="1" applyBorder="1" applyAlignment="1">
      <alignment horizontal="center" vertical="center"/>
    </xf>
    <xf numFmtId="2" fontId="449" fillId="2" borderId="8" xfId="0" applyNumberFormat="1" applyFont="1" applyFill="1" applyBorder="1" applyAlignment="1">
      <alignment horizontal="center" vertical="center"/>
    </xf>
    <xf numFmtId="2" fontId="471" fillId="2" borderId="8" xfId="0" applyNumberFormat="1" applyFont="1" applyFill="1" applyBorder="1" applyAlignment="1">
      <alignment horizontal="center" vertical="center"/>
    </xf>
    <xf numFmtId="2" fontId="367" fillId="2" borderId="8" xfId="0" applyNumberFormat="1" applyFont="1" applyFill="1" applyBorder="1" applyAlignment="1">
      <alignment horizontal="center" vertical="center"/>
    </xf>
    <xf numFmtId="2" fontId="408" fillId="2" borderId="8" xfId="0" applyNumberFormat="1" applyFont="1" applyFill="1" applyBorder="1" applyAlignment="1">
      <alignment horizontal="center" vertical="center"/>
    </xf>
    <xf numFmtId="2" fontId="450" fillId="2" borderId="8" xfId="0" applyNumberFormat="1" applyFont="1" applyFill="1" applyBorder="1" applyAlignment="1">
      <alignment horizontal="center" vertical="center"/>
    </xf>
    <xf numFmtId="2" fontId="109" fillId="2" borderId="8" xfId="0" applyNumberFormat="1" applyFont="1" applyFill="1" applyBorder="1" applyAlignment="1">
      <alignment horizontal="center" vertical="center"/>
    </xf>
    <xf numFmtId="2" fontId="109" fillId="2" borderId="7" xfId="0" applyNumberFormat="1" applyFont="1" applyFill="1" applyBorder="1" applyAlignment="1">
      <alignment horizontal="center" vertical="center"/>
    </xf>
    <xf numFmtId="0" fontId="450" fillId="2" borderId="8" xfId="0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0" fillId="2" borderId="7" xfId="0" applyFont="1" applyFill="1" applyBorder="1" applyAlignment="1">
      <alignment wrapText="1"/>
    </xf>
    <xf numFmtId="49" fontId="156" fillId="2" borderId="6" xfId="0" applyNumberFormat="1" applyFont="1" applyFill="1" applyBorder="1" applyAlignment="1">
      <alignment horizontal="center" vertical="center"/>
    </xf>
    <xf numFmtId="0" fontId="473" fillId="2" borderId="8" xfId="0" applyNumberFormat="1" applyFont="1" applyFill="1" applyBorder="1" applyAlignment="1">
      <alignment horizontal="center" vertical="center"/>
    </xf>
    <xf numFmtId="2" fontId="472" fillId="2" borderId="8" xfId="0" applyNumberFormat="1" applyFont="1" applyFill="1" applyBorder="1" applyAlignment="1">
      <alignment horizontal="center" vertical="center"/>
    </xf>
    <xf numFmtId="49" fontId="472" fillId="2" borderId="8" xfId="0" applyNumberFormat="1" applyFont="1" applyFill="1" applyBorder="1" applyAlignment="1">
      <alignment horizontal="center" vertical="center"/>
    </xf>
    <xf numFmtId="2" fontId="446" fillId="2" borderId="8" xfId="0" applyNumberFormat="1" applyFont="1" applyFill="1" applyBorder="1" applyAlignment="1">
      <alignment horizontal="center" vertical="center"/>
    </xf>
    <xf numFmtId="49" fontId="462" fillId="2" borderId="6" xfId="0" applyNumberFormat="1" applyFont="1" applyFill="1" applyBorder="1" applyAlignment="1">
      <alignment horizontal="center" vertical="center"/>
    </xf>
    <xf numFmtId="49" fontId="462" fillId="2" borderId="9" xfId="0" applyNumberFormat="1" applyFont="1" applyFill="1" applyBorder="1" applyAlignment="1">
      <alignment horizontal="center" vertical="center"/>
    </xf>
    <xf numFmtId="49" fontId="407" fillId="2" borderId="81" xfId="0" applyNumberFormat="1" applyFont="1" applyFill="1" applyBorder="1" applyAlignment="1">
      <alignment horizontal="center" vertical="center"/>
    </xf>
    <xf numFmtId="0" fontId="474" fillId="2" borderId="6" xfId="0" applyFont="1" applyFill="1" applyBorder="1" applyAlignment="1">
      <alignment horizontal="center"/>
    </xf>
    <xf numFmtId="0" fontId="475" fillId="2" borderId="6" xfId="0" applyFont="1" applyFill="1" applyBorder="1" applyAlignment="1">
      <alignment horizontal="center"/>
    </xf>
    <xf numFmtId="0" fontId="476" fillId="2" borderId="6" xfId="0" applyFont="1" applyFill="1" applyBorder="1" applyAlignment="1">
      <alignment horizontal="center"/>
    </xf>
    <xf numFmtId="0" fontId="0" fillId="2" borderId="85" xfId="0" applyFont="1" applyFill="1" applyBorder="1" applyAlignment="1">
      <alignment vertical="center"/>
    </xf>
    <xf numFmtId="0" fontId="159" fillId="2" borderId="8" xfId="0" applyNumberFormat="1" applyFont="1" applyFill="1" applyBorder="1" applyAlignment="1">
      <alignment horizontal="center" vertical="center"/>
    </xf>
    <xf numFmtId="49" fontId="477" fillId="2" borderId="6" xfId="0" applyNumberFormat="1" applyFont="1" applyFill="1" applyBorder="1" applyAlignment="1">
      <alignment horizontal="center" vertical="center"/>
    </xf>
    <xf numFmtId="0" fontId="453" fillId="2" borderId="8" xfId="0" applyFont="1" applyFill="1" applyBorder="1" applyAlignment="1">
      <alignment horizontal="center" vertical="center"/>
    </xf>
    <xf numFmtId="1" fontId="110" fillId="2" borderId="8" xfId="0" applyNumberFormat="1" applyFont="1" applyFill="1" applyBorder="1" applyAlignment="1">
      <alignment horizontal="center" vertical="center"/>
    </xf>
    <xf numFmtId="1" fontId="345" fillId="2" borderId="8" xfId="0" applyNumberFormat="1" applyFont="1" applyFill="1" applyBorder="1" applyAlignment="1">
      <alignment horizontal="center" vertical="center"/>
    </xf>
    <xf numFmtId="1" fontId="160" fillId="2" borderId="8" xfId="0" applyNumberFormat="1" applyFont="1" applyFill="1" applyBorder="1" applyAlignment="1">
      <alignment horizontal="center" vertical="center"/>
    </xf>
    <xf numFmtId="1" fontId="347" fillId="2" borderId="8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442" fillId="9" borderId="10" xfId="0" applyFont="1" applyFill="1" applyBorder="1" applyAlignment="1">
      <alignment horizontal="center" vertical="center"/>
    </xf>
    <xf numFmtId="0" fontId="442" fillId="9" borderId="11" xfId="0" applyFont="1" applyFill="1" applyBorder="1" applyAlignment="1">
      <alignment horizontal="center" vertical="center"/>
    </xf>
    <xf numFmtId="0" fontId="442" fillId="9" borderId="12" xfId="0" applyFont="1" applyFill="1" applyBorder="1" applyAlignment="1">
      <alignment horizontal="center" vertical="center"/>
    </xf>
    <xf numFmtId="0" fontId="407" fillId="2" borderId="18" xfId="0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0" fillId="0" borderId="86" xfId="0" applyFont="1" applyBorder="1" applyAlignment="1"/>
    <xf numFmtId="0" fontId="0" fillId="2" borderId="86" xfId="0" applyFont="1" applyFill="1" applyBorder="1" applyAlignment="1"/>
    <xf numFmtId="0" fontId="118" fillId="2" borderId="90" xfId="0" applyFont="1" applyFill="1" applyBorder="1" applyAlignment="1">
      <alignment horizontal="center" vertical="center"/>
    </xf>
    <xf numFmtId="0" fontId="0" fillId="0" borderId="91" xfId="0" applyFont="1" applyBorder="1" applyAlignment="1"/>
    <xf numFmtId="0" fontId="0" fillId="0" borderId="52" xfId="0" applyFont="1" applyBorder="1" applyAlignment="1"/>
    <xf numFmtId="49" fontId="479" fillId="2" borderId="53" xfId="0" applyNumberFormat="1" applyFont="1" applyFill="1" applyBorder="1" applyAlignment="1">
      <alignment horizontal="center" vertical="center"/>
    </xf>
    <xf numFmtId="49" fontId="479" fillId="2" borderId="54" xfId="0" applyNumberFormat="1" applyFont="1" applyFill="1" applyBorder="1" applyAlignment="1">
      <alignment horizontal="center" vertical="center"/>
    </xf>
    <xf numFmtId="49" fontId="480" fillId="2" borderId="93" xfId="0" applyNumberFormat="1" applyFont="1" applyFill="1" applyBorder="1" applyAlignment="1">
      <alignment horizontal="center" vertical="center"/>
    </xf>
    <xf numFmtId="49" fontId="480" fillId="2" borderId="94" xfId="0" applyNumberFormat="1" applyFont="1" applyFill="1" applyBorder="1" applyAlignment="1">
      <alignment horizontal="center" vertical="center"/>
    </xf>
    <xf numFmtId="49" fontId="480" fillId="2" borderId="8" xfId="0" applyNumberFormat="1" applyFont="1" applyFill="1" applyBorder="1" applyAlignment="1">
      <alignment horizontal="center" vertical="center"/>
    </xf>
    <xf numFmtId="49" fontId="480" fillId="2" borderId="9" xfId="0" applyNumberFormat="1" applyFont="1" applyFill="1" applyBorder="1" applyAlignment="1">
      <alignment horizontal="center" vertical="center"/>
    </xf>
    <xf numFmtId="0" fontId="215" fillId="2" borderId="96" xfId="0" applyFont="1" applyFill="1" applyBorder="1" applyAlignment="1">
      <alignment horizontal="center" vertical="center"/>
    </xf>
    <xf numFmtId="0" fontId="99" fillId="2" borderId="96" xfId="0" applyFont="1" applyFill="1" applyBorder="1" applyAlignment="1">
      <alignment horizontal="center" vertical="center"/>
    </xf>
    <xf numFmtId="49" fontId="110" fillId="2" borderId="99" xfId="0" applyNumberFormat="1" applyFont="1" applyFill="1" applyBorder="1" applyAlignment="1">
      <alignment horizontal="center" vertical="center"/>
    </xf>
    <xf numFmtId="49" fontId="484" fillId="2" borderId="101" xfId="0" applyNumberFormat="1" applyFont="1" applyFill="1" applyBorder="1" applyAlignment="1">
      <alignment horizontal="center" vertical="center"/>
    </xf>
    <xf numFmtId="1" fontId="484" fillId="2" borderId="14" xfId="0" applyNumberFormat="1" applyFont="1" applyFill="1" applyBorder="1" applyAlignment="1">
      <alignment horizontal="center" vertical="center"/>
    </xf>
    <xf numFmtId="2" fontId="188" fillId="2" borderId="14" xfId="0" applyNumberFormat="1" applyFont="1" applyFill="1" applyBorder="1" applyAlignment="1">
      <alignment horizontal="center" vertical="center"/>
    </xf>
    <xf numFmtId="1" fontId="0" fillId="0" borderId="10" xfId="0" applyNumberFormat="1" applyFont="1" applyBorder="1" applyAlignment="1"/>
    <xf numFmtId="1" fontId="0" fillId="2" borderId="6" xfId="0" applyNumberFormat="1" applyFont="1" applyFill="1" applyBorder="1" applyAlignment="1"/>
    <xf numFmtId="1" fontId="0" fillId="2" borderId="8" xfId="0" applyNumberFormat="1" applyFont="1" applyFill="1" applyBorder="1" applyAlignment="1"/>
    <xf numFmtId="49" fontId="480" fillId="2" borderId="106" xfId="0" applyNumberFormat="1" applyFont="1" applyFill="1" applyBorder="1" applyAlignment="1">
      <alignment horizontal="center" vertical="center"/>
    </xf>
    <xf numFmtId="49" fontId="480" fillId="2" borderId="96" xfId="0" applyNumberFormat="1" applyFont="1" applyFill="1" applyBorder="1" applyAlignment="1">
      <alignment horizontal="center" vertical="center"/>
    </xf>
    <xf numFmtId="49" fontId="480" fillId="2" borderId="107" xfId="0" applyNumberFormat="1" applyFont="1" applyFill="1" applyBorder="1" applyAlignment="1">
      <alignment horizontal="center" vertical="center"/>
    </xf>
    <xf numFmtId="0" fontId="483" fillId="2" borderId="108" xfId="0" applyFont="1" applyFill="1" applyBorder="1" applyAlignment="1">
      <alignment horizontal="center" vertical="center"/>
    </xf>
    <xf numFmtId="0" fontId="486" fillId="2" borderId="109" xfId="0" applyFont="1" applyFill="1" applyBorder="1" applyAlignment="1">
      <alignment horizontal="center" vertical="center"/>
    </xf>
    <xf numFmtId="0" fontId="482" fillId="2" borderId="97" xfId="0" applyFont="1" applyFill="1" applyBorder="1" applyAlignment="1">
      <alignment horizontal="center" vertical="center"/>
    </xf>
    <xf numFmtId="0" fontId="488" fillId="2" borderId="110" xfId="0" applyFont="1" applyFill="1" applyBorder="1" applyAlignment="1">
      <alignment horizontal="center" vertical="center"/>
    </xf>
    <xf numFmtId="49" fontId="484" fillId="2" borderId="113" xfId="0" applyNumberFormat="1" applyFont="1" applyFill="1" applyBorder="1" applyAlignment="1">
      <alignment horizontal="center" vertical="center"/>
    </xf>
    <xf numFmtId="0" fontId="481" fillId="2" borderId="8" xfId="0" applyFont="1" applyFill="1" applyBorder="1" applyAlignment="1">
      <alignment horizontal="center" vertical="center"/>
    </xf>
    <xf numFmtId="49" fontId="119" fillId="4" borderId="33" xfId="0" applyNumberFormat="1" applyFont="1" applyFill="1" applyBorder="1" applyAlignment="1">
      <alignment horizontal="center" vertical="center"/>
    </xf>
    <xf numFmtId="49" fontId="119" fillId="4" borderId="34" xfId="0" applyNumberFormat="1" applyFont="1" applyFill="1" applyBorder="1" applyAlignment="1">
      <alignment horizontal="center" vertical="center"/>
    </xf>
    <xf numFmtId="0" fontId="386" fillId="2" borderId="6" xfId="0" applyFont="1" applyFill="1" applyBorder="1" applyAlignment="1">
      <alignment horizontal="center" vertical="center"/>
    </xf>
    <xf numFmtId="49" fontId="480" fillId="2" borderId="118" xfId="0" applyNumberFormat="1" applyFont="1" applyFill="1" applyBorder="1" applyAlignment="1">
      <alignment horizontal="center" vertical="center"/>
    </xf>
    <xf numFmtId="49" fontId="480" fillId="2" borderId="119" xfId="0" applyNumberFormat="1" applyFont="1" applyFill="1" applyBorder="1" applyAlignment="1">
      <alignment horizontal="center" vertical="center"/>
    </xf>
    <xf numFmtId="49" fontId="480" fillId="2" borderId="120" xfId="0" applyNumberFormat="1" applyFont="1" applyFill="1" applyBorder="1" applyAlignment="1">
      <alignment horizontal="center" vertical="center"/>
    </xf>
    <xf numFmtId="49" fontId="480" fillId="2" borderId="121" xfId="0" applyNumberFormat="1" applyFont="1" applyFill="1" applyBorder="1" applyAlignment="1">
      <alignment horizontal="center" vertical="center"/>
    </xf>
    <xf numFmtId="2" fontId="188" fillId="2" borderId="6" xfId="0" applyNumberFormat="1" applyFont="1" applyFill="1" applyBorder="1" applyAlignment="1">
      <alignment horizontal="center" vertical="center"/>
    </xf>
    <xf numFmtId="0" fontId="483" fillId="2" borderId="123" xfId="0" applyFont="1" applyFill="1" applyBorder="1" applyAlignment="1">
      <alignment horizontal="center" vertical="center"/>
    </xf>
    <xf numFmtId="0" fontId="486" fillId="2" borderId="124" xfId="0" applyFont="1" applyFill="1" applyBorder="1" applyAlignment="1">
      <alignment horizontal="center" vertical="center"/>
    </xf>
    <xf numFmtId="0" fontId="482" fillId="2" borderId="126" xfId="0" applyFont="1" applyFill="1" applyBorder="1" applyAlignment="1">
      <alignment horizontal="center" vertical="center"/>
    </xf>
    <xf numFmtId="0" fontId="487" fillId="2" borderId="125" xfId="0" applyFont="1" applyFill="1" applyBorder="1" applyAlignment="1">
      <alignment horizontal="center" vertical="center"/>
    </xf>
    <xf numFmtId="49" fontId="484" fillId="2" borderId="128" xfId="0" applyNumberFormat="1" applyFont="1" applyFill="1" applyBorder="1" applyAlignment="1">
      <alignment horizontal="center" vertical="center"/>
    </xf>
    <xf numFmtId="2" fontId="188" fillId="2" borderId="120" xfId="0" applyNumberFormat="1" applyFont="1" applyFill="1" applyBorder="1" applyAlignment="1">
      <alignment horizontal="center" vertical="center"/>
    </xf>
    <xf numFmtId="2" fontId="188" fillId="2" borderId="129" xfId="0" applyNumberFormat="1" applyFont="1" applyFill="1" applyBorder="1" applyAlignment="1">
      <alignment horizontal="center" vertical="center"/>
    </xf>
    <xf numFmtId="49" fontId="110" fillId="2" borderId="130" xfId="0" applyNumberFormat="1" applyFont="1" applyFill="1" applyBorder="1" applyAlignment="1">
      <alignment horizontal="center" vertical="center"/>
    </xf>
    <xf numFmtId="0" fontId="37" fillId="2" borderId="102" xfId="0" applyFont="1" applyFill="1" applyBorder="1" applyAlignment="1">
      <alignment horizontal="center" vertical="center"/>
    </xf>
    <xf numFmtId="0" fontId="37" fillId="2" borderId="103" xfId="0" applyFont="1" applyFill="1" applyBorder="1" applyAlignment="1">
      <alignment horizontal="center" vertical="center"/>
    </xf>
    <xf numFmtId="49" fontId="489" fillId="2" borderId="131" xfId="0" applyNumberFormat="1" applyFont="1" applyFill="1" applyBorder="1" applyAlignment="1">
      <alignment horizontal="center" vertical="center"/>
    </xf>
    <xf numFmtId="2" fontId="491" fillId="2" borderId="8" xfId="0" applyNumberFormat="1" applyFont="1" applyFill="1" applyBorder="1" applyAlignment="1">
      <alignment horizontal="center" vertical="center"/>
    </xf>
    <xf numFmtId="49" fontId="439" fillId="4" borderId="134" xfId="0" applyNumberFormat="1" applyFont="1" applyFill="1" applyBorder="1" applyAlignment="1">
      <alignment horizontal="center" vertical="center"/>
    </xf>
    <xf numFmtId="49" fontId="227" fillId="4" borderId="8" xfId="0" applyNumberFormat="1" applyFont="1" applyFill="1" applyBorder="1" applyAlignment="1">
      <alignment horizontal="center" vertical="center"/>
    </xf>
    <xf numFmtId="0" fontId="227" fillId="2" borderId="8" xfId="0" applyFont="1" applyFill="1" applyBorder="1" applyAlignment="1">
      <alignment horizontal="center" vertical="center"/>
    </xf>
    <xf numFmtId="2" fontId="245" fillId="2" borderId="135" xfId="0" applyNumberFormat="1" applyFont="1" applyFill="1" applyBorder="1" applyAlignment="1">
      <alignment horizontal="center" vertical="center"/>
    </xf>
    <xf numFmtId="49" fontId="492" fillId="2" borderId="136" xfId="0" applyNumberFormat="1" applyFont="1" applyFill="1" applyBorder="1" applyAlignment="1">
      <alignment horizontal="center" vertical="center"/>
    </xf>
    <xf numFmtId="2" fontId="245" fillId="2" borderId="138" xfId="0" applyNumberFormat="1" applyFont="1" applyFill="1" applyBorder="1" applyAlignment="1">
      <alignment horizontal="center" vertical="center"/>
    </xf>
    <xf numFmtId="0" fontId="193" fillId="2" borderId="139" xfId="0" applyFont="1" applyFill="1" applyBorder="1" applyAlignment="1">
      <alignment horizontal="center" vertical="center"/>
    </xf>
    <xf numFmtId="49" fontId="492" fillId="2" borderId="93" xfId="0" applyNumberFormat="1" applyFont="1" applyFill="1" applyBorder="1" applyAlignment="1">
      <alignment horizontal="center" vertical="center"/>
    </xf>
    <xf numFmtId="2" fontId="245" fillId="2" borderId="140" xfId="0" applyNumberFormat="1" applyFont="1" applyFill="1" applyBorder="1" applyAlignment="1">
      <alignment horizontal="center" vertical="center"/>
    </xf>
    <xf numFmtId="0" fontId="193" fillId="2" borderId="93" xfId="0" applyFont="1" applyFill="1" applyBorder="1" applyAlignment="1">
      <alignment horizontal="center" vertical="center"/>
    </xf>
    <xf numFmtId="0" fontId="6" fillId="2" borderId="141" xfId="0" applyFont="1" applyFill="1" applyBorder="1" applyAlignment="1">
      <alignment horizontal="center" vertical="center"/>
    </xf>
    <xf numFmtId="0" fontId="493" fillId="2" borderId="116" xfId="0" applyFont="1" applyFill="1" applyBorder="1" applyAlignment="1">
      <alignment horizontal="center" vertical="center"/>
    </xf>
    <xf numFmtId="0" fontId="245" fillId="2" borderId="116" xfId="0" applyFont="1" applyFill="1" applyBorder="1" applyAlignment="1">
      <alignment horizontal="center" vertical="center"/>
    </xf>
    <xf numFmtId="2" fontId="245" fillId="2" borderId="116" xfId="0" applyNumberFormat="1" applyFont="1" applyFill="1" applyBorder="1" applyAlignment="1">
      <alignment horizontal="center" vertical="center"/>
    </xf>
    <xf numFmtId="0" fontId="115" fillId="2" borderId="141" xfId="0" applyFont="1" applyFill="1" applyBorder="1" applyAlignment="1">
      <alignment horizontal="center" vertical="center"/>
    </xf>
    <xf numFmtId="49" fontId="224" fillId="4" borderId="142" xfId="0" applyNumberFormat="1" applyFont="1" applyFill="1" applyBorder="1" applyAlignment="1">
      <alignment horizontal="center" vertical="center"/>
    </xf>
    <xf numFmtId="49" fontId="227" fillId="4" borderId="142" xfId="0" applyNumberFormat="1" applyFont="1" applyFill="1" applyBorder="1" applyAlignment="1">
      <alignment horizontal="center" vertical="center"/>
    </xf>
    <xf numFmtId="2" fontId="245" fillId="2" borderId="104" xfId="0" applyNumberFormat="1" applyFont="1" applyFill="1" applyBorder="1" applyAlignment="1">
      <alignment horizontal="center" vertical="center"/>
    </xf>
    <xf numFmtId="49" fontId="175" fillId="2" borderId="98" xfId="0" applyNumberFormat="1" applyFont="1" applyFill="1" applyBorder="1" applyAlignment="1">
      <alignment horizontal="center" vertical="center"/>
    </xf>
    <xf numFmtId="2" fontId="245" fillId="2" borderId="98" xfId="0" applyNumberFormat="1" applyFont="1" applyFill="1" applyBorder="1" applyAlignment="1">
      <alignment horizontal="center" vertical="center"/>
    </xf>
    <xf numFmtId="0" fontId="193" fillId="2" borderId="98" xfId="0" applyFont="1" applyFill="1" applyBorder="1" applyAlignment="1">
      <alignment horizontal="center" vertical="center"/>
    </xf>
    <xf numFmtId="0" fontId="54" fillId="2" borderId="8" xfId="0" applyFont="1" applyFill="1" applyBorder="1" applyAlignment="1">
      <alignment horizontal="center" vertical="center"/>
    </xf>
    <xf numFmtId="0" fontId="115" fillId="2" borderId="105" xfId="0" applyFont="1" applyFill="1" applyBorder="1" applyAlignment="1">
      <alignment horizontal="center" vertical="center"/>
    </xf>
    <xf numFmtId="2" fontId="491" fillId="0" borderId="8" xfId="0" applyNumberFormat="1" applyFont="1" applyBorder="1" applyAlignment="1">
      <alignment horizontal="center"/>
    </xf>
    <xf numFmtId="2" fontId="245" fillId="0" borderId="104" xfId="0" applyNumberFormat="1" applyFont="1" applyBorder="1" applyAlignment="1">
      <alignment horizontal="center"/>
    </xf>
    <xf numFmtId="49" fontId="175" fillId="0" borderId="98" xfId="0" applyNumberFormat="1" applyFont="1" applyBorder="1" applyAlignment="1">
      <alignment horizontal="center"/>
    </xf>
    <xf numFmtId="0" fontId="115" fillId="0" borderId="105" xfId="0" applyFont="1" applyBorder="1" applyAlignment="1">
      <alignment horizontal="center"/>
    </xf>
    <xf numFmtId="0" fontId="186" fillId="2" borderId="8" xfId="0" applyFont="1" applyFill="1" applyBorder="1" applyAlignment="1">
      <alignment horizontal="center"/>
    </xf>
    <xf numFmtId="0" fontId="186" fillId="2" borderId="8" xfId="0" applyFont="1" applyFill="1" applyBorder="1" applyAlignment="1">
      <alignment horizontal="center" vertical="center"/>
    </xf>
    <xf numFmtId="0" fontId="0" fillId="0" borderId="0" xfId="0" applyNumberFormat="1" applyFont="1" applyAlignment="1"/>
    <xf numFmtId="49" fontId="494" fillId="2" borderId="8" xfId="0" applyNumberFormat="1" applyFont="1" applyFill="1" applyBorder="1" applyAlignment="1">
      <alignment horizontal="center" vertical="center"/>
    </xf>
    <xf numFmtId="49" fontId="495" fillId="2" borderId="8" xfId="0" applyNumberFormat="1" applyFont="1" applyFill="1" applyBorder="1" applyAlignment="1">
      <alignment horizontal="center" vertical="center"/>
    </xf>
    <xf numFmtId="0" fontId="413" fillId="2" borderId="8" xfId="0" applyNumberFormat="1" applyFont="1" applyFill="1" applyBorder="1" applyAlignment="1">
      <alignment horizontal="center" vertical="center"/>
    </xf>
    <xf numFmtId="0" fontId="371" fillId="2" borderId="8" xfId="0" applyNumberFormat="1" applyFont="1" applyFill="1" applyBorder="1" applyAlignment="1">
      <alignment horizontal="center" vertical="center"/>
    </xf>
    <xf numFmtId="0" fontId="500" fillId="2" borderId="8" xfId="0" applyNumberFormat="1" applyFont="1" applyFill="1" applyBorder="1" applyAlignment="1">
      <alignment horizontal="center" vertical="center"/>
    </xf>
    <xf numFmtId="0" fontId="501" fillId="2" borderId="8" xfId="0" applyNumberFormat="1" applyFont="1" applyFill="1" applyBorder="1" applyAlignment="1">
      <alignment horizontal="center" vertical="center"/>
    </xf>
    <xf numFmtId="0" fontId="390" fillId="2" borderId="8" xfId="0" applyNumberFormat="1" applyFont="1" applyFill="1" applyBorder="1" applyAlignment="1">
      <alignment horizontal="center" vertical="center"/>
    </xf>
    <xf numFmtId="0" fontId="503" fillId="2" borderId="8" xfId="0" applyNumberFormat="1" applyFont="1" applyFill="1" applyBorder="1" applyAlignment="1">
      <alignment horizontal="center" vertical="center"/>
    </xf>
    <xf numFmtId="0" fontId="505" fillId="2" borderId="8" xfId="0" applyFont="1" applyFill="1" applyBorder="1" applyAlignment="1">
      <alignment horizontal="center" vertical="center"/>
    </xf>
    <xf numFmtId="0" fontId="506" fillId="2" borderId="8" xfId="0" applyNumberFormat="1" applyFont="1" applyFill="1" applyBorder="1" applyAlignment="1">
      <alignment horizontal="center" vertical="center"/>
    </xf>
    <xf numFmtId="0" fontId="507" fillId="2" borderId="8" xfId="0" applyNumberFormat="1" applyFont="1" applyFill="1" applyBorder="1" applyAlignment="1">
      <alignment horizontal="center" vertical="center"/>
    </xf>
    <xf numFmtId="0" fontId="508" fillId="2" borderId="8" xfId="0" applyFont="1" applyFill="1" applyBorder="1" applyAlignment="1">
      <alignment horizontal="center" vertical="center"/>
    </xf>
    <xf numFmtId="0" fontId="509" fillId="2" borderId="21" xfId="0" applyFont="1" applyFill="1" applyBorder="1" applyAlignment="1">
      <alignment horizontal="center" vertical="center"/>
    </xf>
    <xf numFmtId="49" fontId="42" fillId="2" borderId="21" xfId="0" applyNumberFormat="1" applyFont="1" applyFill="1" applyBorder="1" applyAlignment="1">
      <alignment horizontal="center" vertical="center"/>
    </xf>
    <xf numFmtId="49" fontId="43" fillId="2" borderId="21" xfId="0" applyNumberFormat="1" applyFont="1" applyFill="1" applyBorder="1" applyAlignment="1">
      <alignment horizontal="center" vertical="center"/>
    </xf>
    <xf numFmtId="49" fontId="44" fillId="2" borderId="21" xfId="0" applyNumberFormat="1" applyFont="1" applyFill="1" applyBorder="1" applyAlignment="1">
      <alignment horizontal="center" vertical="center"/>
    </xf>
    <xf numFmtId="49" fontId="444" fillId="2" borderId="21" xfId="0" applyNumberFormat="1" applyFont="1" applyFill="1" applyBorder="1" applyAlignment="1">
      <alignment horizontal="center" vertical="center"/>
    </xf>
    <xf numFmtId="49" fontId="47" fillId="2" borderId="21" xfId="0" applyNumberFormat="1" applyFont="1" applyFill="1" applyBorder="1" applyAlignment="1">
      <alignment horizontal="center" vertical="center"/>
    </xf>
    <xf numFmtId="49" fontId="456" fillId="2" borderId="21" xfId="0" applyNumberFormat="1" applyFont="1" applyFill="1" applyBorder="1" applyAlignment="1">
      <alignment horizontal="center" vertical="center"/>
    </xf>
    <xf numFmtId="49" fontId="445" fillId="2" borderId="21" xfId="0" applyNumberFormat="1" applyFont="1" applyFill="1" applyBorder="1" applyAlignment="1">
      <alignment horizontal="center" vertical="center"/>
    </xf>
    <xf numFmtId="49" fontId="50" fillId="2" borderId="21" xfId="0" applyNumberFormat="1" applyFont="1" applyFill="1" applyBorder="1" applyAlignment="1">
      <alignment horizontal="center" vertical="center"/>
    </xf>
    <xf numFmtId="49" fontId="51" fillId="2" borderId="21" xfId="0" applyNumberFormat="1" applyFont="1" applyFill="1" applyBorder="1" applyAlignment="1">
      <alignment horizontal="center" vertical="center"/>
    </xf>
    <xf numFmtId="49" fontId="52" fillId="2" borderId="21" xfId="0" applyNumberFormat="1" applyFont="1" applyFill="1" applyBorder="1" applyAlignment="1">
      <alignment horizontal="center" vertical="center"/>
    </xf>
    <xf numFmtId="49" fontId="508" fillId="2" borderId="2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49" fontId="0" fillId="2" borderId="8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395" fillId="2" borderId="8" xfId="0" applyFont="1" applyFill="1" applyBorder="1" applyAlignment="1">
      <alignment horizontal="center" vertical="center"/>
    </xf>
    <xf numFmtId="0" fontId="496" fillId="2" borderId="8" xfId="0" applyFont="1" applyFill="1" applyBorder="1" applyAlignment="1">
      <alignment horizontal="center" vertical="center"/>
    </xf>
    <xf numFmtId="0" fontId="376" fillId="2" borderId="8" xfId="0" applyFont="1" applyFill="1" applyBorder="1" applyAlignment="1">
      <alignment horizontal="center" vertical="center"/>
    </xf>
    <xf numFmtId="0" fontId="497" fillId="2" borderId="8" xfId="0" applyFont="1" applyFill="1" applyBorder="1" applyAlignment="1">
      <alignment horizontal="center" vertical="center"/>
    </xf>
    <xf numFmtId="0" fontId="371" fillId="2" borderId="8" xfId="0" applyFont="1" applyFill="1" applyBorder="1" applyAlignment="1">
      <alignment horizontal="center" vertical="center"/>
    </xf>
    <xf numFmtId="0" fontId="498" fillId="2" borderId="8" xfId="0" applyFont="1" applyFill="1" applyBorder="1" applyAlignment="1">
      <alignment horizontal="center" vertical="center"/>
    </xf>
    <xf numFmtId="0" fontId="382" fillId="2" borderId="8" xfId="0" applyFont="1" applyFill="1" applyBorder="1" applyAlignment="1">
      <alignment horizontal="center" vertical="center"/>
    </xf>
    <xf numFmtId="0" fontId="366" fillId="2" borderId="8" xfId="0" applyFont="1" applyFill="1" applyBorder="1" applyAlignment="1">
      <alignment horizontal="center" vertical="center"/>
    </xf>
    <xf numFmtId="0" fontId="499" fillId="2" borderId="8" xfId="0" applyFont="1" applyFill="1" applyBorder="1" applyAlignment="1">
      <alignment horizontal="center" vertical="center"/>
    </xf>
    <xf numFmtId="0" fontId="500" fillId="2" borderId="8" xfId="0" applyFont="1" applyFill="1" applyBorder="1" applyAlignment="1">
      <alignment horizontal="center" vertical="center"/>
    </xf>
    <xf numFmtId="0" fontId="495" fillId="2" borderId="8" xfId="0" applyFont="1" applyFill="1" applyBorder="1" applyAlignment="1">
      <alignment horizontal="center" vertical="center"/>
    </xf>
    <xf numFmtId="49" fontId="133" fillId="2" borderId="8" xfId="0" applyNumberFormat="1" applyFont="1" applyFill="1" applyBorder="1" applyAlignment="1">
      <alignment horizontal="center" vertical="center"/>
    </xf>
    <xf numFmtId="0" fontId="245" fillId="2" borderId="7" xfId="0" applyNumberFormat="1" applyFont="1" applyFill="1" applyBorder="1" applyAlignment="1">
      <alignment horizontal="center" vertical="center"/>
    </xf>
    <xf numFmtId="0" fontId="451" fillId="2" borderId="8" xfId="0" applyFont="1" applyFill="1" applyBorder="1" applyAlignment="1">
      <alignment horizontal="center" vertical="center"/>
    </xf>
    <xf numFmtId="0" fontId="502" fillId="2" borderId="8" xfId="0" applyFont="1" applyFill="1" applyBorder="1" applyAlignment="1">
      <alignment horizontal="center" vertical="center"/>
    </xf>
    <xf numFmtId="0" fontId="390" fillId="2" borderId="8" xfId="0" applyFont="1" applyFill="1" applyBorder="1" applyAlignment="1">
      <alignment horizontal="center" vertical="center"/>
    </xf>
    <xf numFmtId="0" fontId="503" fillId="2" borderId="8" xfId="0" applyFont="1" applyFill="1" applyBorder="1" applyAlignment="1">
      <alignment horizontal="center" vertical="center"/>
    </xf>
    <xf numFmtId="0" fontId="504" fillId="2" borderId="8" xfId="0" applyFont="1" applyFill="1" applyBorder="1" applyAlignment="1">
      <alignment horizontal="center" vertical="center"/>
    </xf>
    <xf numFmtId="0" fontId="510" fillId="2" borderId="8" xfId="0" applyNumberFormat="1" applyFont="1" applyFill="1" applyBorder="1" applyAlignment="1">
      <alignment horizontal="center" vertical="center"/>
    </xf>
    <xf numFmtId="0" fontId="510" fillId="2" borderId="8" xfId="0" applyFont="1" applyFill="1" applyBorder="1" applyAlignment="1">
      <alignment horizontal="center" vertical="center"/>
    </xf>
    <xf numFmtId="0" fontId="510" fillId="2" borderId="7" xfId="0" applyNumberFormat="1" applyFont="1" applyFill="1" applyBorder="1" applyAlignment="1">
      <alignment horizontal="center" vertical="center"/>
    </xf>
    <xf numFmtId="0" fontId="506" fillId="2" borderId="8" xfId="0" applyFont="1" applyFill="1" applyBorder="1" applyAlignment="1">
      <alignment horizontal="center" vertical="center"/>
    </xf>
    <xf numFmtId="0" fontId="507" fillId="2" borderId="8" xfId="0" applyFont="1" applyFill="1" applyBorder="1" applyAlignment="1">
      <alignment horizontal="center" vertical="center"/>
    </xf>
    <xf numFmtId="0" fontId="12" fillId="2" borderId="8" xfId="0" applyNumberFormat="1" applyFont="1" applyFill="1" applyBorder="1" applyAlignment="1">
      <alignment horizontal="center" vertical="center"/>
    </xf>
    <xf numFmtId="0" fontId="12" fillId="2" borderId="7" xfId="0" applyNumberFormat="1" applyFont="1" applyFill="1" applyBorder="1" applyAlignment="1">
      <alignment horizontal="center" vertical="center"/>
    </xf>
    <xf numFmtId="0" fontId="16" fillId="2" borderId="7" xfId="0" applyNumberFormat="1" applyFont="1" applyFill="1" applyBorder="1" applyAlignment="1">
      <alignment horizontal="center" vertical="center"/>
    </xf>
    <xf numFmtId="49" fontId="141" fillId="2" borderId="8" xfId="0" applyNumberFormat="1" applyFont="1" applyFill="1" applyBorder="1" applyAlignment="1">
      <alignment horizontal="center" vertical="center"/>
    </xf>
    <xf numFmtId="0" fontId="153" fillId="2" borderId="8" xfId="0" applyFont="1" applyFill="1" applyBorder="1" applyAlignment="1">
      <alignment horizontal="center" vertical="center"/>
    </xf>
    <xf numFmtId="0" fontId="155" fillId="2" borderId="7" xfId="0" applyNumberFormat="1" applyFont="1" applyFill="1" applyBorder="1" applyAlignment="1">
      <alignment horizontal="center" vertical="center"/>
    </xf>
    <xf numFmtId="49" fontId="149" fillId="2" borderId="8" xfId="0" applyNumberFormat="1" applyFont="1" applyFill="1" applyBorder="1" applyAlignment="1">
      <alignment horizontal="center" vertical="center"/>
    </xf>
    <xf numFmtId="0" fontId="384" fillId="2" borderId="8" xfId="0" applyNumberFormat="1" applyFont="1" applyFill="1" applyBorder="1" applyAlignment="1">
      <alignment horizontal="center" vertical="center"/>
    </xf>
    <xf numFmtId="0" fontId="384" fillId="2" borderId="8" xfId="0" applyFont="1" applyFill="1" applyBorder="1" applyAlignment="1">
      <alignment horizontal="center" vertical="center"/>
    </xf>
    <xf numFmtId="0" fontId="384" fillId="2" borderId="7" xfId="0" applyNumberFormat="1" applyFont="1" applyFill="1" applyBorder="1" applyAlignment="1">
      <alignment horizontal="center" vertical="center"/>
    </xf>
    <xf numFmtId="49" fontId="219" fillId="2" borderId="8" xfId="0" applyNumberFormat="1" applyFont="1" applyFill="1" applyBorder="1" applyAlignment="1">
      <alignment horizontal="center" vertical="center"/>
    </xf>
    <xf numFmtId="0" fontId="294" fillId="2" borderId="7" xfId="0" applyNumberFormat="1" applyFont="1" applyFill="1" applyBorder="1" applyAlignment="1">
      <alignment horizontal="center" vertical="center"/>
    </xf>
    <xf numFmtId="49" fontId="182" fillId="2" borderId="8" xfId="0" applyNumberFormat="1" applyFont="1" applyFill="1" applyBorder="1" applyAlignment="1">
      <alignment horizontal="center" vertical="center"/>
    </xf>
    <xf numFmtId="0" fontId="390" fillId="2" borderId="7" xfId="0" applyNumberFormat="1" applyFont="1" applyFill="1" applyBorder="1" applyAlignment="1">
      <alignment horizontal="center" vertical="center"/>
    </xf>
    <xf numFmtId="49" fontId="221" fillId="2" borderId="8" xfId="0" applyNumberFormat="1" applyFont="1" applyFill="1" applyBorder="1" applyAlignment="1">
      <alignment horizontal="center" vertical="center"/>
    </xf>
    <xf numFmtId="0" fontId="29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0" fillId="0" borderId="8" xfId="0" applyNumberFormat="1" applyFont="1" applyBorder="1" applyAlignment="1"/>
    <xf numFmtId="0" fontId="0" fillId="0" borderId="7" xfId="0" applyNumberFormat="1" applyFont="1" applyBorder="1" applyAlignment="1"/>
    <xf numFmtId="0" fontId="0" fillId="0" borderId="21" xfId="0" applyNumberFormat="1" applyFont="1" applyBorder="1" applyAlignment="1"/>
    <xf numFmtId="0" fontId="0" fillId="0" borderId="19" xfId="0" applyNumberFormat="1" applyFont="1" applyBorder="1" applyAlignment="1"/>
    <xf numFmtId="49" fontId="523" fillId="2" borderId="8" xfId="0" applyNumberFormat="1" applyFont="1" applyFill="1" applyBorder="1" applyAlignment="1">
      <alignment horizontal="center" vertical="center"/>
    </xf>
    <xf numFmtId="0" fontId="524" fillId="2" borderId="8" xfId="0" applyNumberFormat="1" applyFont="1" applyFill="1" applyBorder="1" applyAlignment="1">
      <alignment horizontal="center" vertical="center"/>
    </xf>
    <xf numFmtId="0" fontId="525" fillId="2" borderId="8" xfId="0" applyNumberFormat="1" applyFont="1" applyFill="1" applyBorder="1" applyAlignment="1">
      <alignment horizontal="center" vertical="center"/>
    </xf>
    <xf numFmtId="0" fontId="526" fillId="2" borderId="8" xfId="0" applyNumberFormat="1" applyFont="1" applyFill="1" applyBorder="1" applyAlignment="1">
      <alignment horizontal="center" vertical="center"/>
    </xf>
    <xf numFmtId="0" fontId="527" fillId="2" borderId="8" xfId="0" applyNumberFormat="1" applyFont="1" applyFill="1" applyBorder="1" applyAlignment="1">
      <alignment horizontal="center" vertical="center"/>
    </xf>
    <xf numFmtId="0" fontId="528" fillId="2" borderId="8" xfId="0" applyNumberFormat="1" applyFont="1" applyFill="1" applyBorder="1" applyAlignment="1">
      <alignment horizontal="center" vertical="center"/>
    </xf>
    <xf numFmtId="0" fontId="529" fillId="2" borderId="8" xfId="0" applyNumberFormat="1" applyFont="1" applyFill="1" applyBorder="1" applyAlignment="1">
      <alignment horizontal="center" vertical="center"/>
    </xf>
    <xf numFmtId="0" fontId="530" fillId="2" borderId="8" xfId="0" applyNumberFormat="1" applyFont="1" applyFill="1" applyBorder="1" applyAlignment="1">
      <alignment horizontal="center" vertical="center"/>
    </xf>
    <xf numFmtId="0" fontId="531" fillId="2" borderId="8" xfId="0" applyNumberFormat="1" applyFont="1" applyFill="1" applyBorder="1" applyAlignment="1">
      <alignment horizontal="center" vertical="center"/>
    </xf>
    <xf numFmtId="0" fontId="532" fillId="2" borderId="8" xfId="0" applyNumberFormat="1" applyFont="1" applyFill="1" applyBorder="1" applyAlignment="1">
      <alignment horizontal="center" vertical="center"/>
    </xf>
    <xf numFmtId="0" fontId="534" fillId="2" borderId="8" xfId="0" applyNumberFormat="1" applyFont="1" applyFill="1" applyBorder="1" applyAlignment="1">
      <alignment horizontal="center" vertical="center"/>
    </xf>
    <xf numFmtId="0" fontId="535" fillId="2" borderId="8" xfId="0" applyNumberFormat="1" applyFont="1" applyFill="1" applyBorder="1" applyAlignment="1">
      <alignment horizontal="center" vertical="center"/>
    </xf>
    <xf numFmtId="0" fontId="536" fillId="2" borderId="8" xfId="0" applyNumberFormat="1" applyFont="1" applyFill="1" applyBorder="1" applyAlignment="1">
      <alignment horizontal="center" vertical="center"/>
    </xf>
    <xf numFmtId="0" fontId="537" fillId="2" borderId="8" xfId="0" applyNumberFormat="1" applyFont="1" applyFill="1" applyBorder="1" applyAlignment="1">
      <alignment horizontal="center" vertical="center"/>
    </xf>
    <xf numFmtId="49" fontId="0" fillId="2" borderId="13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49" fontId="230" fillId="2" borderId="1" xfId="0" applyNumberFormat="1" applyFont="1" applyFill="1" applyBorder="1" applyAlignment="1">
      <alignment horizontal="center"/>
    </xf>
    <xf numFmtId="49" fontId="15" fillId="2" borderId="13" xfId="0" applyNumberFormat="1" applyFont="1" applyFill="1" applyBorder="1" applyAlignment="1">
      <alignment vertical="top"/>
    </xf>
    <xf numFmtId="49" fontId="538" fillId="2" borderId="13" xfId="0" applyNumberFormat="1" applyFont="1" applyFill="1" applyBorder="1" applyAlignment="1">
      <alignment horizontal="center" vertical="center"/>
    </xf>
    <xf numFmtId="2" fontId="539" fillId="2" borderId="8" xfId="0" applyNumberFormat="1" applyFont="1" applyFill="1" applyBorder="1" applyAlignment="1">
      <alignment horizontal="center" vertical="center"/>
    </xf>
    <xf numFmtId="2" fontId="540" fillId="2" borderId="8" xfId="0" applyNumberFormat="1" applyFont="1" applyFill="1" applyBorder="1" applyAlignment="1">
      <alignment horizontal="center" vertical="center"/>
    </xf>
    <xf numFmtId="2" fontId="541" fillId="2" borderId="8" xfId="0" applyNumberFormat="1" applyFont="1" applyFill="1" applyBorder="1" applyAlignment="1">
      <alignment horizontal="center" vertical="center"/>
    </xf>
    <xf numFmtId="2" fontId="542" fillId="2" borderId="8" xfId="0" applyNumberFormat="1" applyFont="1" applyFill="1" applyBorder="1" applyAlignment="1">
      <alignment horizontal="center" vertical="center"/>
    </xf>
    <xf numFmtId="2" fontId="543" fillId="2" borderId="8" xfId="0" applyNumberFormat="1" applyFont="1" applyFill="1" applyBorder="1" applyAlignment="1">
      <alignment horizontal="center" vertical="center"/>
    </xf>
    <xf numFmtId="2" fontId="544" fillId="2" borderId="8" xfId="0" applyNumberFormat="1" applyFont="1" applyFill="1" applyBorder="1" applyAlignment="1">
      <alignment horizontal="center" vertical="center"/>
    </xf>
    <xf numFmtId="2" fontId="545" fillId="2" borderId="8" xfId="0" applyNumberFormat="1" applyFont="1" applyFill="1" applyBorder="1" applyAlignment="1">
      <alignment horizontal="center" vertical="center"/>
    </xf>
    <xf numFmtId="2" fontId="546" fillId="2" borderId="8" xfId="0" applyNumberFormat="1" applyFont="1" applyFill="1" applyBorder="1" applyAlignment="1">
      <alignment horizontal="center" vertical="center"/>
    </xf>
    <xf numFmtId="2" fontId="547" fillId="2" borderId="8" xfId="0" applyNumberFormat="1" applyFont="1" applyFill="1" applyBorder="1" applyAlignment="1">
      <alignment horizontal="center" vertical="center"/>
    </xf>
    <xf numFmtId="2" fontId="548" fillId="2" borderId="8" xfId="0" applyNumberFormat="1" applyFont="1" applyFill="1" applyBorder="1" applyAlignment="1">
      <alignment horizontal="center" vertical="center"/>
    </xf>
    <xf numFmtId="0" fontId="538" fillId="2" borderId="8" xfId="0" applyFont="1" applyFill="1" applyBorder="1" applyAlignment="1">
      <alignment horizontal="center" vertical="center"/>
    </xf>
    <xf numFmtId="49" fontId="549" fillId="2" borderId="13" xfId="0" applyNumberFormat="1" applyFont="1" applyFill="1" applyBorder="1" applyAlignment="1">
      <alignment horizontal="center" vertical="center"/>
    </xf>
    <xf numFmtId="0" fontId="550" fillId="2" borderId="8" xfId="0" applyNumberFormat="1" applyFont="1" applyFill="1" applyBorder="1" applyAlignment="1">
      <alignment horizontal="center" vertical="center"/>
    </xf>
    <xf numFmtId="0" fontId="551" fillId="2" borderId="8" xfId="0" applyNumberFormat="1" applyFont="1" applyFill="1" applyBorder="1" applyAlignment="1">
      <alignment horizontal="center" vertical="center"/>
    </xf>
    <xf numFmtId="2" fontId="552" fillId="2" borderId="8" xfId="0" applyNumberFormat="1" applyFont="1" applyFill="1" applyBorder="1" applyAlignment="1">
      <alignment horizontal="center" vertical="center"/>
    </xf>
    <xf numFmtId="0" fontId="553" fillId="2" borderId="8" xfId="0" applyNumberFormat="1" applyFont="1" applyFill="1" applyBorder="1" applyAlignment="1">
      <alignment horizontal="center" vertical="center"/>
    </xf>
    <xf numFmtId="0" fontId="554" fillId="2" borderId="8" xfId="0" applyNumberFormat="1" applyFont="1" applyFill="1" applyBorder="1" applyAlignment="1">
      <alignment horizontal="center" vertical="center"/>
    </xf>
    <xf numFmtId="0" fontId="555" fillId="2" borderId="8" xfId="0" applyNumberFormat="1" applyFont="1" applyFill="1" applyBorder="1" applyAlignment="1">
      <alignment horizontal="center" vertical="center"/>
    </xf>
    <xf numFmtId="0" fontId="556" fillId="2" borderId="8" xfId="0" applyNumberFormat="1" applyFont="1" applyFill="1" applyBorder="1" applyAlignment="1">
      <alignment horizontal="center" vertical="center"/>
    </xf>
    <xf numFmtId="2" fontId="557" fillId="2" borderId="8" xfId="0" applyNumberFormat="1" applyFont="1" applyFill="1" applyBorder="1" applyAlignment="1">
      <alignment horizontal="center" vertical="center"/>
    </xf>
    <xf numFmtId="0" fontId="558" fillId="2" borderId="8" xfId="0" applyNumberFormat="1" applyFont="1" applyFill="1" applyBorder="1" applyAlignment="1">
      <alignment horizontal="center" vertical="center"/>
    </xf>
    <xf numFmtId="0" fontId="559" fillId="2" borderId="8" xfId="0" applyNumberFormat="1" applyFont="1" applyFill="1" applyBorder="1" applyAlignment="1">
      <alignment horizontal="center" vertical="center"/>
    </xf>
    <xf numFmtId="49" fontId="494" fillId="2" borderId="13" xfId="0" applyNumberFormat="1" applyFont="1" applyFill="1" applyBorder="1" applyAlignment="1">
      <alignment horizontal="center" vertical="center"/>
    </xf>
    <xf numFmtId="0" fontId="324" fillId="2" borderId="8" xfId="0" applyFont="1" applyFill="1" applyBorder="1" applyAlignment="1">
      <alignment horizontal="center" vertical="center"/>
    </xf>
    <xf numFmtId="0" fontId="560" fillId="2" borderId="8" xfId="0" applyFont="1" applyFill="1" applyBorder="1" applyAlignment="1">
      <alignment horizontal="center" vertical="center"/>
    </xf>
    <xf numFmtId="0" fontId="251" fillId="2" borderId="8" xfId="0" applyFont="1" applyFill="1" applyBorder="1" applyAlignment="1">
      <alignment horizontal="center" vertical="center"/>
    </xf>
    <xf numFmtId="0" fontId="229" fillId="2" borderId="8" xfId="0" applyFont="1" applyFill="1" applyBorder="1" applyAlignment="1">
      <alignment horizontal="center" vertical="center"/>
    </xf>
    <xf numFmtId="0" fontId="231" fillId="2" borderId="8" xfId="0" applyFont="1" applyFill="1" applyBorder="1" applyAlignment="1">
      <alignment horizontal="center" vertical="center"/>
    </xf>
    <xf numFmtId="0" fontId="267" fillId="2" borderId="8" xfId="0" applyFont="1" applyFill="1" applyBorder="1" applyAlignment="1">
      <alignment horizontal="center" vertical="center"/>
    </xf>
    <xf numFmtId="0" fontId="295" fillId="2" borderId="8" xfId="0" applyFont="1" applyFill="1" applyBorder="1" applyAlignment="1">
      <alignment horizontal="center" vertical="center"/>
    </xf>
    <xf numFmtId="0" fontId="561" fillId="2" borderId="8" xfId="0" applyFont="1" applyFill="1" applyBorder="1" applyAlignment="1">
      <alignment horizontal="center" vertical="center"/>
    </xf>
    <xf numFmtId="0" fontId="413" fillId="2" borderId="13" xfId="0" applyNumberFormat="1" applyFont="1" applyFill="1" applyBorder="1" applyAlignment="1">
      <alignment horizontal="center" vertical="center"/>
    </xf>
    <xf numFmtId="0" fontId="246" fillId="2" borderId="8" xfId="0" applyNumberFormat="1" applyFont="1" applyFill="1" applyBorder="1" applyAlignment="1">
      <alignment horizontal="center" vertical="center"/>
    </xf>
    <xf numFmtId="0" fontId="560" fillId="2" borderId="8" xfId="0" applyNumberFormat="1" applyFont="1" applyFill="1" applyBorder="1" applyAlignment="1">
      <alignment horizontal="center" vertical="center"/>
    </xf>
    <xf numFmtId="0" fontId="295" fillId="2" borderId="8" xfId="0" applyNumberFormat="1" applyFont="1" applyFill="1" applyBorder="1" applyAlignment="1">
      <alignment horizontal="center" vertical="center"/>
    </xf>
    <xf numFmtId="0" fontId="561" fillId="2" borderId="8" xfId="0" applyNumberFormat="1" applyFont="1" applyFill="1" applyBorder="1" applyAlignment="1">
      <alignment horizontal="center" vertical="center"/>
    </xf>
    <xf numFmtId="0" fontId="327" fillId="2" borderId="8" xfId="0" applyNumberFormat="1" applyFont="1" applyFill="1" applyBorder="1" applyAlignment="1">
      <alignment horizontal="center" vertical="center"/>
    </xf>
    <xf numFmtId="0" fontId="501" fillId="2" borderId="13" xfId="0" applyNumberFormat="1" applyFont="1" applyFill="1" applyBorder="1" applyAlignment="1">
      <alignment horizontal="center" vertical="center"/>
    </xf>
    <xf numFmtId="0" fontId="509" fillId="2" borderId="20" xfId="0" applyFont="1" applyFill="1" applyBorder="1" applyAlignment="1">
      <alignment horizontal="center" vertical="center"/>
    </xf>
    <xf numFmtId="49" fontId="455" fillId="2" borderId="2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49" fontId="562" fillId="2" borderId="8" xfId="0" applyNumberFormat="1" applyFont="1" applyFill="1" applyBorder="1" applyAlignment="1">
      <alignment horizontal="center" vertical="center"/>
    </xf>
    <xf numFmtId="0" fontId="563" fillId="2" borderId="8" xfId="0" applyNumberFormat="1" applyFont="1" applyFill="1" applyBorder="1" applyAlignment="1">
      <alignment horizontal="center" vertical="center"/>
    </xf>
    <xf numFmtId="0" fontId="564" fillId="2" borderId="8" xfId="0" applyNumberFormat="1" applyFont="1" applyFill="1" applyBorder="1" applyAlignment="1">
      <alignment horizontal="center" vertical="center"/>
    </xf>
    <xf numFmtId="0" fontId="565" fillId="2" borderId="8" xfId="0" applyNumberFormat="1" applyFont="1" applyFill="1" applyBorder="1" applyAlignment="1">
      <alignment horizontal="center" vertical="center"/>
    </xf>
    <xf numFmtId="0" fontId="566" fillId="2" borderId="8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537" fillId="2" borderId="3" xfId="0" applyFont="1" applyFill="1" applyBorder="1" applyAlignment="1">
      <alignment horizontal="center"/>
    </xf>
    <xf numFmtId="49" fontId="567" fillId="2" borderId="13" xfId="0" applyNumberFormat="1" applyFont="1" applyFill="1" applyBorder="1" applyAlignment="1">
      <alignment horizontal="center" vertical="center"/>
    </xf>
    <xf numFmtId="49" fontId="568" fillId="2" borderId="8" xfId="0" applyNumberFormat="1" applyFont="1" applyFill="1" applyBorder="1" applyAlignment="1">
      <alignment horizontal="center" vertical="center"/>
    </xf>
    <xf numFmtId="49" fontId="567" fillId="2" borderId="7" xfId="0" applyNumberFormat="1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/>
    </xf>
    <xf numFmtId="0" fontId="155" fillId="2" borderId="8" xfId="0" applyFont="1" applyFill="1" applyBorder="1" applyAlignment="1">
      <alignment horizontal="center"/>
    </xf>
    <xf numFmtId="0" fontId="150" fillId="2" borderId="8" xfId="0" applyFont="1" applyFill="1" applyBorder="1" applyAlignment="1">
      <alignment horizontal="center"/>
    </xf>
    <xf numFmtId="0" fontId="347" fillId="2" borderId="8" xfId="0" applyFont="1" applyFill="1" applyBorder="1" applyAlignment="1">
      <alignment horizontal="center"/>
    </xf>
    <xf numFmtId="0" fontId="29" fillId="2" borderId="7" xfId="0" applyFont="1" applyFill="1" applyBorder="1" applyAlignment="1">
      <alignment horizontal="center" vertical="center"/>
    </xf>
    <xf numFmtId="0" fontId="524" fillId="2" borderId="13" xfId="0" applyNumberFormat="1" applyFont="1" applyFill="1" applyBorder="1" applyAlignment="1">
      <alignment horizontal="center"/>
    </xf>
    <xf numFmtId="0" fontId="569" fillId="2" borderId="8" xfId="0" applyNumberFormat="1" applyFont="1" applyFill="1" applyBorder="1" applyAlignment="1">
      <alignment horizontal="center"/>
    </xf>
    <xf numFmtId="0" fontId="570" fillId="2" borderId="8" xfId="0" applyNumberFormat="1" applyFont="1" applyFill="1" applyBorder="1" applyAlignment="1">
      <alignment horizontal="center"/>
    </xf>
    <xf numFmtId="0" fontId="571" fillId="2" borderId="8" xfId="0" applyNumberFormat="1" applyFont="1" applyFill="1" applyBorder="1" applyAlignment="1">
      <alignment horizontal="center"/>
    </xf>
    <xf numFmtId="0" fontId="572" fillId="2" borderId="8" xfId="0" applyNumberFormat="1" applyFont="1" applyFill="1" applyBorder="1" applyAlignment="1">
      <alignment horizontal="center"/>
    </xf>
    <xf numFmtId="0" fontId="528" fillId="2" borderId="8" xfId="0" applyNumberFormat="1" applyFont="1" applyFill="1" applyBorder="1" applyAlignment="1">
      <alignment horizontal="center"/>
    </xf>
    <xf numFmtId="0" fontId="529" fillId="2" borderId="8" xfId="0" applyNumberFormat="1" applyFont="1" applyFill="1" applyBorder="1" applyAlignment="1">
      <alignment horizontal="center"/>
    </xf>
    <xf numFmtId="0" fontId="383" fillId="2" borderId="8" xfId="0" applyNumberFormat="1" applyFont="1" applyFill="1" applyBorder="1" applyAlignment="1">
      <alignment horizontal="center"/>
    </xf>
    <xf numFmtId="0" fontId="465" fillId="2" borderId="8" xfId="0" applyNumberFormat="1" applyFont="1" applyFill="1" applyBorder="1" applyAlignment="1">
      <alignment horizontal="center"/>
    </xf>
    <xf numFmtId="0" fontId="531" fillId="2" borderId="8" xfId="0" applyNumberFormat="1" applyFont="1" applyFill="1" applyBorder="1" applyAlignment="1">
      <alignment horizontal="center"/>
    </xf>
    <xf numFmtId="0" fontId="573" fillId="2" borderId="8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/>
    <xf numFmtId="0" fontId="524" fillId="2" borderId="7" xfId="0" applyNumberFormat="1" applyFont="1" applyFill="1" applyBorder="1" applyAlignment="1">
      <alignment horizontal="center"/>
    </xf>
    <xf numFmtId="0" fontId="443" fillId="2" borderId="13" xfId="0" applyNumberFormat="1" applyFont="1" applyFill="1" applyBorder="1" applyAlignment="1">
      <alignment horizontal="center"/>
    </xf>
    <xf numFmtId="0" fontId="356" fillId="2" borderId="8" xfId="0" applyNumberFormat="1" applyFont="1" applyFill="1" applyBorder="1" applyAlignment="1">
      <alignment horizontal="center"/>
    </xf>
    <xf numFmtId="0" fontId="510" fillId="2" borderId="8" xfId="0" applyNumberFormat="1" applyFont="1" applyFill="1" applyBorder="1" applyAlignment="1">
      <alignment horizontal="center"/>
    </xf>
    <xf numFmtId="0" fontId="12" fillId="2" borderId="8" xfId="0" applyNumberFormat="1" applyFont="1" applyFill="1" applyBorder="1" applyAlignment="1">
      <alignment horizontal="center"/>
    </xf>
    <xf numFmtId="0" fontId="574" fillId="2" borderId="8" xfId="0" applyNumberFormat="1" applyFont="1" applyFill="1" applyBorder="1" applyAlignment="1">
      <alignment horizontal="center"/>
    </xf>
    <xf numFmtId="0" fontId="16" fillId="2" borderId="8" xfId="0" applyNumberFormat="1" applyFont="1" applyFill="1" applyBorder="1" applyAlignment="1">
      <alignment horizontal="center"/>
    </xf>
    <xf numFmtId="0" fontId="535" fillId="2" borderId="8" xfId="0" applyNumberFormat="1" applyFont="1" applyFill="1" applyBorder="1" applyAlignment="1">
      <alignment horizontal="center"/>
    </xf>
    <xf numFmtId="0" fontId="150" fillId="2" borderId="8" xfId="0" applyNumberFormat="1" applyFont="1" applyFill="1" applyBorder="1" applyAlignment="1">
      <alignment horizontal="center"/>
    </xf>
    <xf numFmtId="0" fontId="575" fillId="2" borderId="8" xfId="0" applyNumberFormat="1" applyFont="1" applyFill="1" applyBorder="1" applyAlignment="1">
      <alignment horizontal="center"/>
    </xf>
    <xf numFmtId="0" fontId="576" fillId="2" borderId="8" xfId="0" applyNumberFormat="1" applyFont="1" applyFill="1" applyBorder="1" applyAlignment="1">
      <alignment horizontal="center"/>
    </xf>
    <xf numFmtId="0" fontId="537" fillId="2" borderId="8" xfId="0" applyNumberFormat="1" applyFont="1" applyFill="1" applyBorder="1" applyAlignment="1">
      <alignment horizontal="center"/>
    </xf>
    <xf numFmtId="0" fontId="443" fillId="2" borderId="7" xfId="0" applyNumberFormat="1" applyFont="1" applyFill="1" applyBorder="1" applyAlignment="1">
      <alignment horizontal="center"/>
    </xf>
    <xf numFmtId="0" fontId="577" fillId="2" borderId="8" xfId="0" applyNumberFormat="1" applyFont="1" applyFill="1" applyBorder="1" applyAlignment="1">
      <alignment horizontal="center"/>
    </xf>
    <xf numFmtId="0" fontId="518" fillId="2" borderId="8" xfId="0" applyNumberFormat="1" applyFont="1" applyFill="1" applyBorder="1" applyAlignment="1">
      <alignment horizontal="center"/>
    </xf>
    <xf numFmtId="0" fontId="578" fillId="2" borderId="8" xfId="0" applyNumberFormat="1" applyFont="1" applyFill="1" applyBorder="1" applyAlignment="1">
      <alignment horizontal="center"/>
    </xf>
    <xf numFmtId="0" fontId="579" fillId="2" borderId="8" xfId="0" applyNumberFormat="1" applyFont="1" applyFill="1" applyBorder="1" applyAlignment="1">
      <alignment horizontal="center"/>
    </xf>
    <xf numFmtId="0" fontId="507" fillId="2" borderId="8" xfId="0" applyNumberFormat="1" applyFont="1" applyFill="1" applyBorder="1" applyAlignment="1">
      <alignment horizontal="center"/>
    </xf>
    <xf numFmtId="0" fontId="524" fillId="2" borderId="8" xfId="0" applyNumberFormat="1" applyFont="1" applyFill="1" applyBorder="1" applyAlignment="1">
      <alignment horizontal="center"/>
    </xf>
    <xf numFmtId="0" fontId="580" fillId="2" borderId="8" xfId="0" applyNumberFormat="1" applyFont="1" applyFill="1" applyBorder="1" applyAlignment="1">
      <alignment horizontal="center"/>
    </xf>
    <xf numFmtId="0" fontId="564" fillId="2" borderId="8" xfId="0" applyNumberFormat="1" applyFont="1" applyFill="1" applyBorder="1" applyAlignment="1">
      <alignment horizontal="center"/>
    </xf>
    <xf numFmtId="0" fontId="0" fillId="2" borderId="20" xfId="0" applyFont="1" applyFill="1" applyBorder="1" applyAlignment="1"/>
    <xf numFmtId="0" fontId="537" fillId="2" borderId="21" xfId="0" applyFont="1" applyFill="1" applyBorder="1" applyAlignment="1">
      <alignment horizontal="center"/>
    </xf>
    <xf numFmtId="49" fontId="0" fillId="2" borderId="21" xfId="0" applyNumberFormat="1" applyFont="1" applyFill="1" applyBorder="1" applyAlignment="1"/>
    <xf numFmtId="0" fontId="0" fillId="0" borderId="0" xfId="0" applyNumberFormat="1" applyFont="1" applyAlignment="1"/>
    <xf numFmtId="49" fontId="567" fillId="2" borderId="8" xfId="0" applyNumberFormat="1" applyFont="1" applyFill="1" applyBorder="1" applyAlignment="1">
      <alignment horizontal="center" vertical="center"/>
    </xf>
    <xf numFmtId="49" fontId="581" fillId="2" borderId="8" xfId="0" applyNumberFormat="1" applyFont="1" applyFill="1" applyBorder="1" applyAlignment="1">
      <alignment horizontal="center" vertical="center"/>
    </xf>
    <xf numFmtId="49" fontId="582" fillId="2" borderId="8" xfId="0" applyNumberFormat="1" applyFont="1" applyFill="1" applyBorder="1" applyAlignment="1">
      <alignment horizontal="center" vertical="center"/>
    </xf>
    <xf numFmtId="49" fontId="512" fillId="0" borderId="7" xfId="0" applyNumberFormat="1" applyFont="1" applyBorder="1" applyAlignment="1">
      <alignment horizontal="center"/>
    </xf>
    <xf numFmtId="0" fontId="356" fillId="0" borderId="8" xfId="0" applyFont="1" applyBorder="1" applyAlignment="1"/>
    <xf numFmtId="0" fontId="176" fillId="0" borderId="8" xfId="0" applyFont="1" applyBorder="1" applyAlignment="1"/>
    <xf numFmtId="0" fontId="345" fillId="0" borderId="8" xfId="0" applyFont="1" applyBorder="1" applyAlignment="1"/>
    <xf numFmtId="0" fontId="16" fillId="0" borderId="8" xfId="0" applyFont="1" applyBorder="1" applyAlignment="1"/>
    <xf numFmtId="0" fontId="155" fillId="0" borderId="8" xfId="0" applyFont="1" applyBorder="1" applyAlignment="1"/>
    <xf numFmtId="0" fontId="150" fillId="0" borderId="8" xfId="0" applyFont="1" applyBorder="1" applyAlignment="1"/>
    <xf numFmtId="0" fontId="347" fillId="0" borderId="8" xfId="0" applyFont="1" applyBorder="1" applyAlignment="1"/>
    <xf numFmtId="0" fontId="583" fillId="0" borderId="8" xfId="0" applyFont="1" applyBorder="1" applyAlignment="1"/>
    <xf numFmtId="0" fontId="580" fillId="0" borderId="8" xfId="0" applyNumberFormat="1" applyFont="1" applyBorder="1" applyAlignment="1">
      <alignment horizontal="center"/>
    </xf>
    <xf numFmtId="0" fontId="584" fillId="2" borderId="8" xfId="0" applyNumberFormat="1" applyFont="1" applyFill="1" applyBorder="1" applyAlignment="1">
      <alignment horizontal="center" vertical="center"/>
    </xf>
    <xf numFmtId="0" fontId="443" fillId="2" borderId="8" xfId="0" applyNumberFormat="1" applyFont="1" applyFill="1" applyBorder="1" applyAlignment="1">
      <alignment horizontal="center"/>
    </xf>
    <xf numFmtId="0" fontId="176" fillId="0" borderId="8" xfId="0" applyNumberFormat="1" applyFont="1" applyBorder="1" applyAlignment="1">
      <alignment horizontal="center"/>
    </xf>
    <xf numFmtId="0" fontId="345" fillId="0" borderId="8" xfId="0" applyNumberFormat="1" applyFont="1" applyBorder="1" applyAlignment="1">
      <alignment horizontal="center"/>
    </xf>
    <xf numFmtId="0" fontId="527" fillId="0" borderId="8" xfId="0" applyNumberFormat="1" applyFont="1" applyBorder="1" applyAlignment="1">
      <alignment horizontal="center"/>
    </xf>
    <xf numFmtId="0" fontId="16" fillId="0" borderId="8" xfId="0" applyNumberFormat="1" applyFont="1" applyBorder="1" applyAlignment="1">
      <alignment horizontal="center"/>
    </xf>
    <xf numFmtId="0" fontId="155" fillId="0" borderId="8" xfId="0" applyNumberFormat="1" applyFont="1" applyBorder="1" applyAlignment="1">
      <alignment horizontal="center"/>
    </xf>
    <xf numFmtId="0" fontId="150" fillId="0" borderId="8" xfId="0" applyNumberFormat="1" applyFont="1" applyBorder="1" applyAlignment="1">
      <alignment horizontal="center"/>
    </xf>
    <xf numFmtId="0" fontId="443" fillId="0" borderId="8" xfId="0" applyNumberFormat="1" applyFont="1" applyBorder="1" applyAlignment="1">
      <alignment horizontal="center"/>
    </xf>
    <xf numFmtId="0" fontId="347" fillId="0" borderId="8" xfId="0" applyNumberFormat="1" applyFont="1" applyBorder="1" applyAlignment="1">
      <alignment horizontal="center"/>
    </xf>
    <xf numFmtId="0" fontId="583" fillId="0" borderId="8" xfId="0" applyNumberFormat="1" applyFont="1" applyBorder="1" applyAlignment="1">
      <alignment horizontal="center"/>
    </xf>
    <xf numFmtId="0" fontId="585" fillId="2" borderId="8" xfId="0" applyNumberFormat="1" applyFont="1" applyFill="1" applyBorder="1" applyAlignment="1">
      <alignment horizontal="center"/>
    </xf>
    <xf numFmtId="0" fontId="586" fillId="0" borderId="8" xfId="0" applyNumberFormat="1" applyFont="1" applyBorder="1" applyAlignment="1">
      <alignment horizontal="center"/>
    </xf>
    <xf numFmtId="0" fontId="506" fillId="0" borderId="8" xfId="0" applyNumberFormat="1" applyFont="1" applyBorder="1" applyAlignment="1">
      <alignment horizontal="center"/>
    </xf>
    <xf numFmtId="0" fontId="578" fillId="0" borderId="8" xfId="0" applyNumberFormat="1" applyFont="1" applyBorder="1" applyAlignment="1">
      <alignment horizontal="center"/>
    </xf>
    <xf numFmtId="0" fontId="535" fillId="0" borderId="8" xfId="0" applyNumberFormat="1" applyFont="1" applyBorder="1" applyAlignment="1">
      <alignment horizontal="center"/>
    </xf>
    <xf numFmtId="0" fontId="507" fillId="0" borderId="8" xfId="0" applyNumberFormat="1" applyFont="1" applyBorder="1" applyAlignment="1">
      <alignment horizontal="center"/>
    </xf>
    <xf numFmtId="0" fontId="585" fillId="0" borderId="8" xfId="0" applyNumberFormat="1" applyFont="1" applyBorder="1" applyAlignment="1">
      <alignment horizontal="center"/>
    </xf>
    <xf numFmtId="0" fontId="575" fillId="0" borderId="8" xfId="0" applyNumberFormat="1" applyFont="1" applyBorder="1" applyAlignment="1">
      <alignment horizontal="center"/>
    </xf>
    <xf numFmtId="0" fontId="587" fillId="0" borderId="8" xfId="0" applyNumberFormat="1" applyFont="1" applyBorder="1" applyAlignment="1">
      <alignment horizontal="center"/>
    </xf>
    <xf numFmtId="0" fontId="526" fillId="0" borderId="8" xfId="0" applyNumberFormat="1" applyFont="1" applyBorder="1" applyAlignment="1">
      <alignment horizontal="center"/>
    </xf>
    <xf numFmtId="0" fontId="563" fillId="0" borderId="8" xfId="0" applyNumberFormat="1" applyFont="1" applyBorder="1" applyAlignment="1">
      <alignment horizontal="center"/>
    </xf>
    <xf numFmtId="0" fontId="528" fillId="0" borderId="8" xfId="0" applyNumberFormat="1" applyFont="1" applyBorder="1" applyAlignment="1">
      <alignment horizontal="center"/>
    </xf>
    <xf numFmtId="0" fontId="529" fillId="0" borderId="8" xfId="0" applyNumberFormat="1" applyFont="1" applyBorder="1" applyAlignment="1">
      <alignment horizontal="center"/>
    </xf>
    <xf numFmtId="0" fontId="564" fillId="0" borderId="8" xfId="0" applyNumberFormat="1" applyFont="1" applyBorder="1" applyAlignment="1">
      <alignment horizontal="center"/>
    </xf>
    <xf numFmtId="0" fontId="524" fillId="0" borderId="8" xfId="0" applyNumberFormat="1" applyFont="1" applyBorder="1" applyAlignment="1">
      <alignment horizontal="center"/>
    </xf>
    <xf numFmtId="0" fontId="531" fillId="0" borderId="8" xfId="0" applyNumberFormat="1" applyFont="1" applyBorder="1" applyAlignment="1">
      <alignment horizontal="center"/>
    </xf>
    <xf numFmtId="0" fontId="584" fillId="0" borderId="8" xfId="0" applyNumberFormat="1" applyFont="1" applyBorder="1" applyAlignment="1">
      <alignment horizontal="center"/>
    </xf>
    <xf numFmtId="49" fontId="581" fillId="2" borderId="21" xfId="0" applyNumberFormat="1" applyFont="1" applyFill="1" applyBorder="1" applyAlignment="1">
      <alignment horizontal="center" vertical="center"/>
    </xf>
    <xf numFmtId="49" fontId="582" fillId="2" borderId="21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179" fontId="588" fillId="2" borderId="8" xfId="0" applyNumberFormat="1" applyFont="1" applyFill="1" applyBorder="1" applyAlignment="1">
      <alignment horizontal="center" vertical="center"/>
    </xf>
    <xf numFmtId="49" fontId="5" fillId="10" borderId="8" xfId="0" applyNumberFormat="1" applyFont="1" applyFill="1" applyBorder="1" applyAlignment="1">
      <alignment horizontal="center" vertical="center"/>
    </xf>
    <xf numFmtId="49" fontId="3" fillId="10" borderId="8" xfId="0" applyNumberFormat="1" applyFont="1" applyFill="1" applyBorder="1" applyAlignment="1">
      <alignment horizontal="center" vertical="center"/>
    </xf>
    <xf numFmtId="0" fontId="588" fillId="2" borderId="8" xfId="0" applyFont="1" applyFill="1" applyBorder="1" applyAlignment="1">
      <alignment horizontal="right" vertical="center"/>
    </xf>
    <xf numFmtId="0" fontId="588" fillId="2" borderId="8" xfId="0" applyFont="1" applyFill="1" applyBorder="1" applyAlignment="1">
      <alignment horizontal="left" vertical="center"/>
    </xf>
    <xf numFmtId="49" fontId="588" fillId="2" borderId="8" xfId="0" applyNumberFormat="1" applyFont="1" applyFill="1" applyBorder="1" applyAlignment="1">
      <alignment horizontal="center" vertical="center"/>
    </xf>
    <xf numFmtId="0" fontId="589" fillId="2" borderId="8" xfId="0" applyFont="1" applyFill="1" applyBorder="1" applyAlignment="1">
      <alignment horizontal="center" vertical="center"/>
    </xf>
    <xf numFmtId="0" fontId="604" fillId="2" borderId="8" xfId="0" applyFont="1" applyFill="1" applyBorder="1" applyAlignment="1">
      <alignment horizontal="center" vertical="center"/>
    </xf>
    <xf numFmtId="0" fontId="590" fillId="2" borderId="8" xfId="0" applyFont="1" applyFill="1" applyBorder="1" applyAlignment="1">
      <alignment horizontal="center" vertical="center"/>
    </xf>
    <xf numFmtId="0" fontId="593" fillId="2" borderId="8" xfId="0" applyFont="1" applyFill="1" applyBorder="1" applyAlignment="1">
      <alignment horizontal="center" vertical="center"/>
    </xf>
    <xf numFmtId="0" fontId="594" fillId="2" borderId="8" xfId="0" applyFont="1" applyFill="1" applyBorder="1" applyAlignment="1">
      <alignment horizontal="center" vertical="center"/>
    </xf>
    <xf numFmtId="0" fontId="591" fillId="0" borderId="8" xfId="0" applyFont="1" applyBorder="1" applyAlignment="1">
      <alignment horizontal="center" vertical="center"/>
    </xf>
    <xf numFmtId="179" fontId="610" fillId="2" borderId="8" xfId="0" applyNumberFormat="1" applyFont="1" applyFill="1" applyBorder="1" applyAlignment="1">
      <alignment horizontal="center" vertical="center"/>
    </xf>
    <xf numFmtId="0" fontId="588" fillId="0" borderId="8" xfId="0" applyFont="1" applyBorder="1" applyAlignment="1">
      <alignment horizontal="center" vertical="center"/>
    </xf>
    <xf numFmtId="0" fontId="588" fillId="0" borderId="8" xfId="0" applyFont="1" applyBorder="1" applyAlignment="1">
      <alignment horizontal="right" vertical="center"/>
    </xf>
    <xf numFmtId="179" fontId="588" fillId="10" borderId="8" xfId="0" applyNumberFormat="1" applyFont="1" applyFill="1" applyBorder="1" applyAlignment="1">
      <alignment horizontal="center" vertical="center"/>
    </xf>
    <xf numFmtId="179" fontId="589" fillId="10" borderId="8" xfId="0" applyNumberFormat="1" applyFont="1" applyFill="1" applyBorder="1" applyAlignment="1">
      <alignment horizontal="center" vertical="center"/>
    </xf>
    <xf numFmtId="179" fontId="604" fillId="10" borderId="8" xfId="0" applyNumberFormat="1" applyFont="1" applyFill="1" applyBorder="1" applyAlignment="1">
      <alignment horizontal="center" vertical="center"/>
    </xf>
    <xf numFmtId="179" fontId="591" fillId="10" borderId="8" xfId="0" applyNumberFormat="1" applyFont="1" applyFill="1" applyBorder="1" applyAlignment="1">
      <alignment horizontal="center" vertical="center"/>
    </xf>
    <xf numFmtId="179" fontId="592" fillId="10" borderId="8" xfId="0" applyNumberFormat="1" applyFont="1" applyFill="1" applyBorder="1" applyAlignment="1">
      <alignment horizontal="center" vertical="center"/>
    </xf>
    <xf numFmtId="179" fontId="593" fillId="10" borderId="8" xfId="0" applyNumberFormat="1" applyFont="1" applyFill="1" applyBorder="1" applyAlignment="1">
      <alignment horizontal="center" vertical="center"/>
    </xf>
    <xf numFmtId="179" fontId="594" fillId="10" borderId="8" xfId="0" applyNumberFormat="1" applyFont="1" applyFill="1" applyBorder="1" applyAlignment="1">
      <alignment horizontal="center" vertical="center"/>
    </xf>
    <xf numFmtId="179" fontId="163" fillId="10" borderId="8" xfId="0" applyNumberFormat="1" applyFont="1" applyFill="1" applyBorder="1" applyAlignment="1">
      <alignment horizontal="center" vertical="center"/>
    </xf>
    <xf numFmtId="0" fontId="591" fillId="2" borderId="8" xfId="0" applyFont="1" applyFill="1" applyBorder="1" applyAlignment="1">
      <alignment horizontal="center" vertical="center"/>
    </xf>
    <xf numFmtId="0" fontId="592" fillId="2" borderId="8" xfId="0" applyFont="1" applyFill="1" applyBorder="1" applyAlignment="1">
      <alignment horizontal="center" vertical="center"/>
    </xf>
    <xf numFmtId="49" fontId="27" fillId="2" borderId="8" xfId="0" applyNumberFormat="1" applyFont="1" applyFill="1" applyBorder="1" applyAlignment="1">
      <alignment horizontal="center" vertical="center"/>
    </xf>
    <xf numFmtId="0" fontId="589" fillId="0" borderId="8" xfId="0" applyFont="1" applyBorder="1" applyAlignment="1">
      <alignment horizontal="center" vertical="center"/>
    </xf>
    <xf numFmtId="0" fontId="604" fillId="0" borderId="8" xfId="0" applyFont="1" applyBorder="1" applyAlignment="1">
      <alignment horizontal="center" vertical="center"/>
    </xf>
    <xf numFmtId="0" fontId="592" fillId="0" borderId="8" xfId="0" applyFont="1" applyBorder="1" applyAlignment="1">
      <alignment horizontal="center" vertical="center"/>
    </xf>
    <xf numFmtId="0" fontId="593" fillId="0" borderId="8" xfId="0" applyFont="1" applyBorder="1" applyAlignment="1">
      <alignment horizontal="center" vertical="center"/>
    </xf>
    <xf numFmtId="0" fontId="594" fillId="0" borderId="8" xfId="0" applyFont="1" applyBorder="1" applyAlignment="1">
      <alignment horizontal="center" vertical="center"/>
    </xf>
    <xf numFmtId="0" fontId="163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/>
    </xf>
    <xf numFmtId="49" fontId="603" fillId="2" borderId="8" xfId="0" applyNumberFormat="1" applyFont="1" applyFill="1" applyBorder="1" applyAlignment="1">
      <alignment horizontal="center" vertical="center"/>
    </xf>
    <xf numFmtId="49" fontId="13" fillId="2" borderId="8" xfId="0" applyNumberFormat="1" applyFont="1" applyFill="1" applyBorder="1" applyAlignment="1">
      <alignment horizontal="center" vertical="center"/>
    </xf>
    <xf numFmtId="49" fontId="17" fillId="2" borderId="8" xfId="0" applyNumberFormat="1" applyFont="1" applyFill="1" applyBorder="1" applyAlignment="1">
      <alignment horizontal="center" vertical="center"/>
    </xf>
    <xf numFmtId="49" fontId="18" fillId="2" borderId="8" xfId="0" applyNumberFormat="1" applyFont="1" applyFill="1" applyBorder="1" applyAlignment="1">
      <alignment horizontal="center" vertical="center"/>
    </xf>
    <xf numFmtId="49" fontId="19" fillId="2" borderId="8" xfId="0" applyNumberFormat="1" applyFont="1" applyFill="1" applyBorder="1" applyAlignment="1">
      <alignment horizontal="center" vertical="center"/>
    </xf>
    <xf numFmtId="49" fontId="20" fillId="2" borderId="8" xfId="0" applyNumberFormat="1" applyFont="1" applyFill="1" applyBorder="1" applyAlignment="1">
      <alignment horizontal="center" vertical="center"/>
    </xf>
    <xf numFmtId="49" fontId="21" fillId="2" borderId="8" xfId="0" applyNumberFormat="1" applyFont="1" applyFill="1" applyBorder="1" applyAlignment="1">
      <alignment horizontal="center" vertical="center"/>
    </xf>
    <xf numFmtId="0" fontId="595" fillId="2" borderId="8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 wrapText="1"/>
    </xf>
    <xf numFmtId="49" fontId="607" fillId="2" borderId="8" xfId="0" applyNumberFormat="1" applyFont="1" applyFill="1" applyBorder="1" applyAlignment="1">
      <alignment horizontal="center" vertical="center"/>
    </xf>
    <xf numFmtId="49" fontId="608" fillId="2" borderId="8" xfId="0" applyNumberFormat="1" applyFont="1" applyFill="1" applyBorder="1" applyAlignment="1">
      <alignment horizontal="center" vertical="center"/>
    </xf>
    <xf numFmtId="49" fontId="611" fillId="2" borderId="8" xfId="0" applyNumberFormat="1" applyFont="1" applyFill="1" applyBorder="1" applyAlignment="1">
      <alignment horizontal="center" vertical="center"/>
    </xf>
    <xf numFmtId="49" fontId="612" fillId="2" borderId="8" xfId="0" applyNumberFormat="1" applyFont="1" applyFill="1" applyBorder="1" applyAlignment="1">
      <alignment horizontal="center" vertical="center"/>
    </xf>
    <xf numFmtId="49" fontId="613" fillId="2" borderId="8" xfId="0" applyNumberFormat="1" applyFont="1" applyFill="1" applyBorder="1" applyAlignment="1">
      <alignment horizontal="center" vertical="center"/>
    </xf>
    <xf numFmtId="49" fontId="614" fillId="2" borderId="8" xfId="0" applyNumberFormat="1" applyFont="1" applyFill="1" applyBorder="1" applyAlignment="1">
      <alignment horizontal="center" vertical="center"/>
    </xf>
    <xf numFmtId="49" fontId="615" fillId="2" borderId="8" xfId="0" applyNumberFormat="1" applyFont="1" applyFill="1" applyBorder="1" applyAlignment="1">
      <alignment horizontal="center" vertical="center"/>
    </xf>
    <xf numFmtId="49" fontId="162" fillId="2" borderId="8" xfId="0" applyNumberFormat="1" applyFont="1" applyFill="1" applyBorder="1" applyAlignment="1">
      <alignment horizontal="center" vertical="center"/>
    </xf>
    <xf numFmtId="49" fontId="616" fillId="2" borderId="8" xfId="0" applyNumberFormat="1" applyFont="1" applyFill="1" applyBorder="1" applyAlignment="1">
      <alignment horizontal="center" vertical="center"/>
    </xf>
    <xf numFmtId="179" fontId="595" fillId="10" borderId="8" xfId="0" applyNumberFormat="1" applyFont="1" applyFill="1" applyBorder="1" applyAlignment="1">
      <alignment horizontal="center" vertical="center"/>
    </xf>
    <xf numFmtId="0" fontId="0" fillId="0" borderId="8" xfId="0" applyFont="1" applyBorder="1" applyAlignment="1"/>
    <xf numFmtId="0" fontId="588" fillId="2" borderId="8" xfId="0" applyFont="1" applyFill="1" applyBorder="1" applyAlignment="1">
      <alignment horizontal="center" vertical="center"/>
    </xf>
    <xf numFmtId="0" fontId="604" fillId="2" borderId="8" xfId="0" applyFont="1" applyFill="1" applyBorder="1" applyAlignment="1">
      <alignment horizontal="center" vertical="center"/>
    </xf>
    <xf numFmtId="0" fontId="592" fillId="2" borderId="8" xfId="0" applyFont="1" applyFill="1" applyBorder="1" applyAlignment="1">
      <alignment horizontal="center" vertical="center"/>
    </xf>
    <xf numFmtId="0" fontId="163" fillId="2" borderId="8" xfId="0" applyFont="1" applyFill="1" applyBorder="1" applyAlignment="1">
      <alignment horizontal="center" vertical="center"/>
    </xf>
    <xf numFmtId="0" fontId="595" fillId="0" borderId="8" xfId="0" applyFont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49" fontId="28" fillId="2" borderId="8" xfId="0" applyNumberFormat="1" applyFont="1" applyFill="1" applyBorder="1" applyAlignment="1">
      <alignment horizontal="center" vertical="center"/>
    </xf>
    <xf numFmtId="0" fontId="0" fillId="11" borderId="8" xfId="0" applyFont="1" applyFill="1" applyBorder="1" applyAlignment="1"/>
    <xf numFmtId="0" fontId="21" fillId="11" borderId="8" xfId="0" applyFont="1" applyFill="1" applyBorder="1" applyAlignment="1">
      <alignment horizontal="center" vertical="center"/>
    </xf>
    <xf numFmtId="0" fontId="22" fillId="11" borderId="8" xfId="0" applyFont="1" applyFill="1" applyBorder="1" applyAlignment="1">
      <alignment horizontal="center" vertical="center"/>
    </xf>
    <xf numFmtId="0" fontId="24" fillId="11" borderId="8" xfId="0" applyFont="1" applyFill="1" applyBorder="1" applyAlignment="1">
      <alignment horizontal="center" vertical="center"/>
    </xf>
    <xf numFmtId="164" fontId="23" fillId="11" borderId="8" xfId="0" applyNumberFormat="1" applyFont="1" applyFill="1" applyBorder="1" applyAlignment="1">
      <alignment horizontal="center" vertical="center"/>
    </xf>
    <xf numFmtId="0" fontId="23" fillId="11" borderId="8" xfId="0" applyFont="1" applyFill="1" applyBorder="1" applyAlignment="1">
      <alignment horizontal="center" vertical="center"/>
    </xf>
    <xf numFmtId="0" fontId="29" fillId="11" borderId="8" xfId="0" applyFont="1" applyFill="1" applyBorder="1" applyAlignment="1">
      <alignment horizontal="center" vertical="center"/>
    </xf>
    <xf numFmtId="4" fontId="29" fillId="11" borderId="8" xfId="0" applyNumberFormat="1" applyFont="1" applyFill="1" applyBorder="1" applyAlignment="1">
      <alignment horizontal="center" vertical="center"/>
    </xf>
    <xf numFmtId="0" fontId="30" fillId="11" borderId="8" xfId="0" applyFont="1" applyFill="1" applyBorder="1" applyAlignment="1">
      <alignment horizontal="center" vertical="center"/>
    </xf>
    <xf numFmtId="4" fontId="31" fillId="11" borderId="8" xfId="0" applyNumberFormat="1" applyFont="1" applyFill="1" applyBorder="1" applyAlignment="1">
      <alignment horizontal="center" vertical="center"/>
    </xf>
    <xf numFmtId="0" fontId="31" fillId="11" borderId="8" xfId="0" applyFont="1" applyFill="1" applyBorder="1" applyAlignment="1">
      <alignment horizontal="center" vertical="center"/>
    </xf>
    <xf numFmtId="4" fontId="33" fillId="11" borderId="8" xfId="0" applyNumberFormat="1" applyFont="1" applyFill="1" applyBorder="1" applyAlignment="1">
      <alignment horizontal="center" vertical="center"/>
    </xf>
    <xf numFmtId="0" fontId="33" fillId="11" borderId="8" xfId="0" applyFont="1" applyFill="1" applyBorder="1" applyAlignment="1">
      <alignment horizontal="center" vertical="center"/>
    </xf>
    <xf numFmtId="0" fontId="34" fillId="11" borderId="8" xfId="0" applyFont="1" applyFill="1" applyBorder="1" applyAlignment="1">
      <alignment horizontal="center" vertical="center"/>
    </xf>
    <xf numFmtId="0" fontId="117" fillId="11" borderId="8" xfId="0" applyNumberFormat="1" applyFont="1" applyFill="1" applyBorder="1" applyAlignment="1"/>
    <xf numFmtId="49" fontId="118" fillId="4" borderId="143" xfId="0" applyNumberFormat="1" applyFont="1" applyFill="1" applyBorder="1" applyAlignment="1">
      <alignment horizontal="center" vertical="center"/>
    </xf>
    <xf numFmtId="0" fontId="135" fillId="2" borderId="9" xfId="0" applyFont="1" applyFill="1" applyBorder="1" applyAlignment="1">
      <alignment horizontal="left"/>
    </xf>
    <xf numFmtId="2" fontId="153" fillId="2" borderId="9" xfId="0" applyNumberFormat="1" applyFont="1" applyFill="1" applyBorder="1" applyAlignment="1">
      <alignment horizontal="center"/>
    </xf>
    <xf numFmtId="2" fontId="160" fillId="2" borderId="9" xfId="0" applyNumberFormat="1" applyFont="1" applyFill="1" applyBorder="1" applyAlignment="1">
      <alignment horizontal="right"/>
    </xf>
    <xf numFmtId="49" fontId="119" fillId="4" borderId="144" xfId="0" applyNumberFormat="1" applyFont="1" applyFill="1" applyBorder="1" applyAlignment="1">
      <alignment horizontal="center" vertical="center"/>
    </xf>
    <xf numFmtId="49" fontId="118" fillId="4" borderId="145" xfId="0" applyNumberFormat="1" applyFont="1" applyFill="1" applyBorder="1" applyAlignment="1">
      <alignment horizontal="center" vertical="center"/>
    </xf>
    <xf numFmtId="2" fontId="142" fillId="2" borderId="147" xfId="0" applyNumberFormat="1" applyFont="1" applyFill="1" applyBorder="1" applyAlignment="1">
      <alignment horizontal="center"/>
    </xf>
    <xf numFmtId="2" fontId="134" fillId="2" borderId="149" xfId="0" applyNumberFormat="1" applyFont="1" applyFill="1" applyBorder="1" applyAlignment="1">
      <alignment horizontal="center"/>
    </xf>
    <xf numFmtId="49" fontId="151" fillId="2" borderId="150" xfId="0" applyNumberFormat="1" applyFont="1" applyFill="1" applyBorder="1" applyAlignment="1">
      <alignment horizontal="right"/>
    </xf>
    <xf numFmtId="2" fontId="152" fillId="2" borderId="151" xfId="0" applyNumberFormat="1" applyFont="1" applyFill="1" applyBorder="1" applyAlignment="1">
      <alignment horizontal="center"/>
    </xf>
    <xf numFmtId="49" fontId="156" fillId="2" borderId="150" xfId="0" applyNumberFormat="1" applyFont="1" applyFill="1" applyBorder="1" applyAlignment="1">
      <alignment horizontal="right"/>
    </xf>
    <xf numFmtId="2" fontId="157" fillId="2" borderId="151" xfId="0" applyNumberFormat="1" applyFont="1" applyFill="1" applyBorder="1" applyAlignment="1">
      <alignment horizontal="center"/>
    </xf>
    <xf numFmtId="49" fontId="160" fillId="2" borderId="150" xfId="0" applyNumberFormat="1" applyFont="1" applyFill="1" applyBorder="1" applyAlignment="1">
      <alignment horizontal="right"/>
    </xf>
    <xf numFmtId="2" fontId="160" fillId="2" borderId="151" xfId="0" applyNumberFormat="1" applyFont="1" applyFill="1" applyBorder="1" applyAlignment="1">
      <alignment horizontal="center"/>
    </xf>
    <xf numFmtId="49" fontId="110" fillId="2" borderId="150" xfId="0" applyNumberFormat="1" applyFont="1" applyFill="1" applyBorder="1" applyAlignment="1">
      <alignment horizontal="right"/>
    </xf>
    <xf numFmtId="2" fontId="164" fillId="2" borderId="151" xfId="0" applyNumberFormat="1" applyFont="1" applyFill="1" applyBorder="1" applyAlignment="1">
      <alignment horizontal="center"/>
    </xf>
    <xf numFmtId="49" fontId="173" fillId="2" borderId="152" xfId="0" applyNumberFormat="1" applyFont="1" applyFill="1" applyBorder="1" applyAlignment="1">
      <alignment horizontal="right"/>
    </xf>
    <xf numFmtId="49" fontId="137" fillId="2" borderId="155" xfId="0" applyNumberFormat="1" applyFont="1" applyFill="1" applyBorder="1" applyAlignment="1">
      <alignment horizontal="center"/>
    </xf>
    <xf numFmtId="49" fontId="14" fillId="2" borderId="155" xfId="0" applyNumberFormat="1" applyFont="1" applyFill="1" applyBorder="1" applyAlignment="1">
      <alignment horizontal="center"/>
    </xf>
    <xf numFmtId="49" fontId="138" fillId="2" borderId="155" xfId="0" applyNumberFormat="1" applyFont="1" applyFill="1" applyBorder="1" applyAlignment="1">
      <alignment horizontal="center"/>
    </xf>
    <xf numFmtId="2" fontId="110" fillId="2" borderId="8" xfId="0" applyNumberFormat="1" applyFont="1" applyFill="1" applyBorder="1" applyAlignment="1">
      <alignment horizontal="center"/>
    </xf>
    <xf numFmtId="49" fontId="109" fillId="2" borderId="33" xfId="0" applyNumberFormat="1" applyFont="1" applyFill="1" applyBorder="1" applyAlignment="1">
      <alignment horizontal="center" vertical="center"/>
    </xf>
    <xf numFmtId="0" fontId="189" fillId="2" borderId="8" xfId="0" applyFont="1" applyFill="1" applyBorder="1" applyAlignment="1">
      <alignment horizontal="right"/>
    </xf>
    <xf numFmtId="0" fontId="174" fillId="2" borderId="9" xfId="0" applyFont="1" applyFill="1" applyBorder="1" applyAlignment="1">
      <alignment horizontal="right"/>
    </xf>
    <xf numFmtId="2" fontId="160" fillId="2" borderId="9" xfId="0" applyNumberFormat="1" applyFont="1" applyFill="1" applyBorder="1" applyAlignment="1">
      <alignment horizontal="center"/>
    </xf>
    <xf numFmtId="2" fontId="184" fillId="2" borderId="50" xfId="0" applyNumberFormat="1" applyFont="1" applyFill="1" applyBorder="1" applyAlignment="1">
      <alignment horizontal="right"/>
    </xf>
    <xf numFmtId="49" fontId="173" fillId="2" borderId="156" xfId="0" applyNumberFormat="1" applyFont="1" applyFill="1" applyBorder="1" applyAlignment="1">
      <alignment horizontal="right"/>
    </xf>
    <xf numFmtId="2" fontId="178" fillId="2" borderId="159" xfId="0" applyNumberFormat="1" applyFont="1" applyFill="1" applyBorder="1" applyAlignment="1">
      <alignment horizontal="center"/>
    </xf>
    <xf numFmtId="2" fontId="160" fillId="2" borderId="6" xfId="0" applyNumberFormat="1" applyFont="1" applyFill="1" applyBorder="1" applyAlignment="1">
      <alignment horizontal="center"/>
    </xf>
    <xf numFmtId="2" fontId="0" fillId="2" borderId="18" xfId="0" applyNumberFormat="1" applyFont="1" applyFill="1" applyBorder="1" applyAlignment="1"/>
    <xf numFmtId="0" fontId="145" fillId="2" borderId="159" xfId="0" applyFont="1" applyFill="1" applyBorder="1" applyAlignment="1">
      <alignment horizontal="center"/>
    </xf>
    <xf numFmtId="2" fontId="25" fillId="2" borderId="151" xfId="0" applyNumberFormat="1" applyFont="1" applyFill="1" applyBorder="1" applyAlignment="1">
      <alignment horizontal="center"/>
    </xf>
    <xf numFmtId="2" fontId="158" fillId="2" borderId="151" xfId="0" applyNumberFormat="1" applyFont="1" applyFill="1" applyBorder="1" applyAlignment="1">
      <alignment horizontal="center"/>
    </xf>
    <xf numFmtId="2" fontId="188" fillId="2" borderId="151" xfId="0" applyNumberFormat="1" applyFont="1" applyFill="1" applyBorder="1" applyAlignment="1">
      <alignment horizontal="center"/>
    </xf>
    <xf numFmtId="179" fontId="588" fillId="2" borderId="8" xfId="0" applyNumberFormat="1" applyFont="1" applyFill="1" applyBorder="1" applyAlignment="1">
      <alignment horizontal="left" vertical="center"/>
    </xf>
    <xf numFmtId="2" fontId="588" fillId="2" borderId="8" xfId="0" applyNumberFormat="1" applyFont="1" applyFill="1" applyBorder="1" applyAlignment="1">
      <alignment horizontal="right" vertical="center"/>
    </xf>
    <xf numFmtId="0" fontId="621" fillId="2" borderId="8" xfId="0" applyFont="1" applyFill="1" applyBorder="1" applyAlignment="1">
      <alignment horizontal="right" vertical="center"/>
    </xf>
    <xf numFmtId="2" fontId="621" fillId="2" borderId="8" xfId="0" applyNumberFormat="1" applyFont="1" applyFill="1" applyBorder="1" applyAlignment="1">
      <alignment horizontal="left" vertical="center"/>
    </xf>
    <xf numFmtId="0" fontId="621" fillId="0" borderId="0" xfId="0" applyNumberFormat="1" applyFont="1" applyAlignment="1">
      <alignment horizontal="right" vertical="center"/>
    </xf>
    <xf numFmtId="0" fontId="368" fillId="2" borderId="6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horizontal="left" vertical="center"/>
    </xf>
    <xf numFmtId="0" fontId="452" fillId="2" borderId="6" xfId="0" applyFont="1" applyFill="1" applyBorder="1" applyAlignment="1">
      <alignment horizontal="left" vertical="center"/>
    </xf>
    <xf numFmtId="0" fontId="390" fillId="2" borderId="6" xfId="0" applyFont="1" applyFill="1" applyBorder="1" applyAlignment="1">
      <alignment horizontal="left" vertical="center"/>
    </xf>
    <xf numFmtId="0" fontId="453" fillId="2" borderId="6" xfId="0" applyFont="1" applyFill="1" applyBorder="1" applyAlignment="1">
      <alignment horizontal="left" vertical="center"/>
    </xf>
    <xf numFmtId="0" fontId="29" fillId="2" borderId="8" xfId="0" applyFont="1" applyFill="1" applyBorder="1" applyAlignment="1">
      <alignment horizontal="center" vertical="center"/>
    </xf>
    <xf numFmtId="0" fontId="622" fillId="2" borderId="8" xfId="0" applyFont="1" applyFill="1" applyBorder="1" applyAlignment="1">
      <alignment horizontal="center" vertical="center"/>
    </xf>
    <xf numFmtId="0" fontId="622" fillId="2" borderId="8" xfId="0" applyNumberFormat="1" applyFont="1" applyFill="1" applyBorder="1" applyAlignment="1">
      <alignment horizontal="center" vertical="center"/>
    </xf>
    <xf numFmtId="180" fontId="622" fillId="2" borderId="8" xfId="0" applyNumberFormat="1" applyFont="1" applyFill="1" applyBorder="1" applyAlignment="1">
      <alignment horizontal="center" vertical="center"/>
    </xf>
    <xf numFmtId="0" fontId="592" fillId="2" borderId="8" xfId="0" applyNumberFormat="1" applyFont="1" applyFill="1" applyBorder="1" applyAlignment="1">
      <alignment horizontal="center" vertical="center"/>
    </xf>
    <xf numFmtId="176" fontId="592" fillId="2" borderId="8" xfId="0" applyNumberFormat="1" applyFont="1" applyFill="1" applyBorder="1" applyAlignment="1">
      <alignment horizontal="center" vertical="center"/>
    </xf>
    <xf numFmtId="0" fontId="588" fillId="2" borderId="8" xfId="0" applyNumberFormat="1" applyFont="1" applyFill="1" applyBorder="1" applyAlignment="1">
      <alignment horizontal="center" vertical="center"/>
    </xf>
    <xf numFmtId="174" fontId="588" fillId="2" borderId="8" xfId="0" applyNumberFormat="1" applyFont="1" applyFill="1" applyBorder="1" applyAlignment="1">
      <alignment horizontal="center" vertical="center"/>
    </xf>
    <xf numFmtId="0" fontId="626" fillId="2" borderId="8" xfId="0" applyNumberFormat="1" applyFont="1" applyFill="1" applyBorder="1" applyAlignment="1">
      <alignment horizontal="center" vertical="center"/>
    </xf>
    <xf numFmtId="49" fontId="627" fillId="2" borderId="8" xfId="0" applyNumberFormat="1" applyFont="1" applyFill="1" applyBorder="1" applyAlignment="1">
      <alignment horizontal="center" vertical="center"/>
    </xf>
    <xf numFmtId="0" fontId="610" fillId="2" borderId="8" xfId="0" applyNumberFormat="1" applyFont="1" applyFill="1" applyBorder="1" applyAlignment="1">
      <alignment horizontal="center" vertical="center"/>
    </xf>
    <xf numFmtId="164" fontId="610" fillId="2" borderId="8" xfId="0" applyNumberFormat="1" applyFont="1" applyFill="1" applyBorder="1" applyAlignment="1">
      <alignment horizontal="center" vertical="center"/>
    </xf>
    <xf numFmtId="164" fontId="605" fillId="2" borderId="8" xfId="0" applyNumberFormat="1" applyFont="1" applyFill="1" applyBorder="1" applyAlignment="1">
      <alignment horizontal="center" vertical="center"/>
    </xf>
    <xf numFmtId="0" fontId="604" fillId="2" borderId="8" xfId="0" applyNumberFormat="1" applyFont="1" applyFill="1" applyBorder="1" applyAlignment="1">
      <alignment horizontal="center" vertical="center"/>
    </xf>
    <xf numFmtId="2" fontId="604" fillId="2" borderId="8" xfId="0" applyNumberFormat="1" applyFont="1" applyFill="1" applyBorder="1" applyAlignment="1">
      <alignment horizontal="center" vertical="center"/>
    </xf>
    <xf numFmtId="166" fontId="610" fillId="2" borderId="8" xfId="0" applyNumberFormat="1" applyFont="1" applyFill="1" applyBorder="1" applyAlignment="1">
      <alignment horizontal="center" vertical="center"/>
    </xf>
    <xf numFmtId="166" fontId="604" fillId="2" borderId="8" xfId="0" applyNumberFormat="1" applyFont="1" applyFill="1" applyBorder="1" applyAlignment="1">
      <alignment horizontal="center" vertical="center"/>
    </xf>
    <xf numFmtId="165" fontId="605" fillId="2" borderId="8" xfId="0" applyNumberFormat="1" applyFont="1" applyFill="1" applyBorder="1" applyAlignment="1">
      <alignment horizontal="center" vertical="center"/>
    </xf>
    <xf numFmtId="174" fontId="604" fillId="2" borderId="8" xfId="0" applyNumberFormat="1" applyFont="1" applyFill="1" applyBorder="1" applyAlignment="1">
      <alignment horizontal="center" vertical="center"/>
    </xf>
    <xf numFmtId="0" fontId="629" fillId="2" borderId="8" xfId="0" applyNumberFormat="1" applyFont="1" applyFill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center" vertical="center"/>
    </xf>
    <xf numFmtId="2" fontId="33" fillId="10" borderId="8" xfId="0" applyNumberFormat="1" applyFont="1" applyFill="1" applyBorder="1" applyAlignment="1">
      <alignment horizontal="center" vertical="center"/>
    </xf>
    <xf numFmtId="49" fontId="621" fillId="10" borderId="8" xfId="0" applyNumberFormat="1" applyFont="1" applyFill="1" applyBorder="1" applyAlignment="1">
      <alignment horizontal="center" vertical="center"/>
    </xf>
    <xf numFmtId="49" fontId="33" fillId="10" borderId="75" xfId="0" applyNumberFormat="1" applyFont="1" applyFill="1" applyBorder="1" applyAlignment="1">
      <alignment horizontal="center" vertical="center"/>
    </xf>
    <xf numFmtId="0" fontId="33" fillId="10" borderId="75" xfId="0" applyFont="1" applyFill="1" applyBorder="1" applyAlignment="1">
      <alignment horizontal="center" vertical="center"/>
    </xf>
    <xf numFmtId="179" fontId="212" fillId="2" borderId="8" xfId="0" applyNumberFormat="1" applyFont="1" applyFill="1" applyBorder="1" applyAlignment="1">
      <alignment horizontal="center" vertical="center"/>
    </xf>
    <xf numFmtId="179" fontId="354" fillId="2" borderId="8" xfId="0" applyNumberFormat="1" applyFont="1" applyFill="1" applyBorder="1" applyAlignment="1">
      <alignment horizontal="center" vertical="center"/>
    </xf>
    <xf numFmtId="179" fontId="628" fillId="2" borderId="8" xfId="0" applyNumberFormat="1" applyFont="1" applyFill="1" applyBorder="1" applyAlignment="1">
      <alignment horizontal="center" vertical="center"/>
    </xf>
    <xf numFmtId="179" fontId="341" fillId="2" borderId="8" xfId="0" applyNumberFormat="1" applyFont="1" applyFill="1" applyBorder="1" applyAlignment="1">
      <alignment horizontal="center" vertical="center"/>
    </xf>
    <xf numFmtId="179" fontId="352" fillId="2" borderId="8" xfId="0" applyNumberFormat="1" applyFont="1" applyFill="1" applyBorder="1" applyAlignment="1">
      <alignment horizontal="center" vertical="center"/>
    </xf>
    <xf numFmtId="179" fontId="400" fillId="2" borderId="8" xfId="0" applyNumberFormat="1" applyFont="1" applyFill="1" applyBorder="1" applyAlignment="1">
      <alignment horizontal="center" vertical="center"/>
    </xf>
    <xf numFmtId="179" fontId="274" fillId="2" borderId="8" xfId="0" applyNumberFormat="1" applyFont="1" applyFill="1" applyBorder="1" applyAlignment="1">
      <alignment horizontal="center" vertical="center"/>
    </xf>
    <xf numFmtId="179" fontId="213" fillId="2" borderId="8" xfId="0" applyNumberFormat="1" applyFont="1" applyFill="1" applyBorder="1" applyAlignment="1">
      <alignment horizontal="center" vertical="center"/>
    </xf>
    <xf numFmtId="179" fontId="342" fillId="2" borderId="8" xfId="0" applyNumberFormat="1" applyFont="1" applyFill="1" applyBorder="1" applyAlignment="1">
      <alignment horizontal="center" vertical="center"/>
    </xf>
    <xf numFmtId="179" fontId="448" fillId="2" borderId="8" xfId="0" applyNumberFormat="1" applyFont="1" applyFill="1" applyBorder="1" applyAlignment="1">
      <alignment horizontal="center" vertical="center"/>
    </xf>
    <xf numFmtId="0" fontId="588" fillId="2" borderId="41" xfId="0" applyFont="1" applyFill="1" applyBorder="1" applyAlignment="1">
      <alignment horizontal="center" vertical="center"/>
    </xf>
    <xf numFmtId="0" fontId="589" fillId="2" borderId="41" xfId="0" applyFont="1" applyFill="1" applyBorder="1" applyAlignment="1">
      <alignment horizontal="center" vertical="center"/>
    </xf>
    <xf numFmtId="0" fontId="604" fillId="2" borderId="41" xfId="0" applyFont="1" applyFill="1" applyBorder="1" applyAlignment="1">
      <alignment horizontal="center" vertical="center"/>
    </xf>
    <xf numFmtId="0" fontId="630" fillId="2" borderId="41" xfId="0" applyFont="1" applyFill="1" applyBorder="1" applyAlignment="1">
      <alignment horizontal="center" vertical="center"/>
    </xf>
    <xf numFmtId="0" fontId="591" fillId="2" borderId="41" xfId="0" applyFont="1" applyFill="1" applyBorder="1" applyAlignment="1">
      <alignment horizontal="center" vertical="center"/>
    </xf>
    <xf numFmtId="0" fontId="592" fillId="2" borderId="41" xfId="0" applyFont="1" applyFill="1" applyBorder="1" applyAlignment="1">
      <alignment horizontal="center" vertical="center"/>
    </xf>
    <xf numFmtId="0" fontId="593" fillId="2" borderId="41" xfId="0" applyFont="1" applyFill="1" applyBorder="1" applyAlignment="1">
      <alignment horizontal="center" vertical="center"/>
    </xf>
    <xf numFmtId="0" fontId="622" fillId="2" borderId="41" xfId="0" applyFont="1" applyFill="1" applyBorder="1" applyAlignment="1">
      <alignment horizontal="center" vertical="center"/>
    </xf>
    <xf numFmtId="0" fontId="163" fillId="2" borderId="41" xfId="0" applyFont="1" applyFill="1" applyBorder="1" applyAlignment="1">
      <alignment horizontal="center" vertical="center"/>
    </xf>
    <xf numFmtId="49" fontId="631" fillId="2" borderId="8" xfId="0" applyNumberFormat="1" applyFont="1" applyFill="1" applyBorder="1" applyAlignment="1">
      <alignment horizontal="center" vertical="center"/>
    </xf>
    <xf numFmtId="164" fontId="288" fillId="2" borderId="8" xfId="0" applyNumberFormat="1" applyFont="1" applyFill="1" applyBorder="1" applyAlignment="1">
      <alignment horizontal="center" vertical="center"/>
    </xf>
    <xf numFmtId="164" fontId="601" fillId="2" borderId="8" xfId="0" applyNumberFormat="1" applyFont="1" applyFill="1" applyBorder="1" applyAlignment="1">
      <alignment horizontal="center" vertical="center"/>
    </xf>
    <xf numFmtId="166" fontId="288" fillId="2" borderId="8" xfId="0" applyNumberFormat="1" applyFont="1" applyFill="1" applyBorder="1" applyAlignment="1">
      <alignment horizontal="center" vertical="center"/>
    </xf>
    <xf numFmtId="166" fontId="163" fillId="2" borderId="8" xfId="0" applyNumberFormat="1" applyFont="1" applyFill="1" applyBorder="1" applyAlignment="1">
      <alignment horizontal="center" vertical="center"/>
    </xf>
    <xf numFmtId="179" fontId="377" fillId="2" borderId="8" xfId="0" applyNumberFormat="1" applyFont="1" applyFill="1" applyBorder="1" applyAlignment="1">
      <alignment horizontal="center" vertical="center"/>
    </xf>
    <xf numFmtId="179" fontId="288" fillId="2" borderId="8" xfId="0" applyNumberFormat="1" applyFont="1" applyFill="1" applyBorder="1" applyAlignment="1">
      <alignment horizontal="center" vertical="center"/>
    </xf>
    <xf numFmtId="165" fontId="601" fillId="2" borderId="8" xfId="0" applyNumberFormat="1" applyFont="1" applyFill="1" applyBorder="1" applyAlignment="1">
      <alignment horizontal="center" vertical="center"/>
    </xf>
    <xf numFmtId="0" fontId="632" fillId="2" borderId="8" xfId="0" applyNumberFormat="1" applyFont="1" applyFill="1" applyBorder="1" applyAlignment="1">
      <alignment horizontal="center" vertical="center"/>
    </xf>
    <xf numFmtId="0" fontId="595" fillId="2" borderId="78" xfId="0" applyFont="1" applyFill="1" applyBorder="1" applyAlignment="1">
      <alignment horizontal="center" vertical="center"/>
    </xf>
    <xf numFmtId="178" fontId="595" fillId="2" borderId="8" xfId="0" applyNumberFormat="1" applyFont="1" applyFill="1" applyBorder="1" applyAlignment="1">
      <alignment horizontal="center" vertical="center"/>
    </xf>
    <xf numFmtId="0" fontId="634" fillId="2" borderId="8" xfId="0" applyNumberFormat="1" applyFont="1" applyFill="1" applyBorder="1" applyAlignment="1">
      <alignment horizontal="center" vertical="center"/>
    </xf>
    <xf numFmtId="49" fontId="635" fillId="2" borderId="8" xfId="0" applyNumberFormat="1" applyFont="1" applyFill="1" applyBorder="1" applyAlignment="1">
      <alignment horizontal="center" vertical="center"/>
    </xf>
    <xf numFmtId="0" fontId="340" fillId="2" borderId="9" xfId="0" applyNumberFormat="1" applyFont="1" applyFill="1" applyBorder="1" applyAlignment="1">
      <alignment horizontal="center" vertical="center"/>
    </xf>
    <xf numFmtId="179" fontId="176" fillId="2" borderId="8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94" fillId="0" borderId="13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9" fontId="42" fillId="0" borderId="8" xfId="0" applyNumberFormat="1" applyFont="1" applyBorder="1" applyAlignment="1">
      <alignment horizontal="center" vertical="center"/>
    </xf>
    <xf numFmtId="49" fontId="511" fillId="0" borderId="8" xfId="0" applyNumberFormat="1" applyFont="1" applyBorder="1" applyAlignment="1">
      <alignment horizontal="center" vertical="center"/>
    </xf>
    <xf numFmtId="49" fontId="44" fillId="0" borderId="8" xfId="0" applyNumberFormat="1" applyFont="1" applyBorder="1" applyAlignment="1">
      <alignment horizontal="center" vertical="center"/>
    </xf>
    <xf numFmtId="49" fontId="444" fillId="0" borderId="8" xfId="0" applyNumberFormat="1" applyFont="1" applyBorder="1" applyAlignment="1">
      <alignment horizontal="center" vertical="center"/>
    </xf>
    <xf numFmtId="49" fontId="47" fillId="0" borderId="8" xfId="0" applyNumberFormat="1" applyFont="1" applyBorder="1" applyAlignment="1">
      <alignment horizontal="center" vertical="center"/>
    </xf>
    <xf numFmtId="49" fontId="456" fillId="0" borderId="8" xfId="0" applyNumberFormat="1" applyFont="1" applyBorder="1" applyAlignment="1">
      <alignment horizontal="center" vertical="center"/>
    </xf>
    <xf numFmtId="49" fontId="445" fillId="0" borderId="8" xfId="0" applyNumberFormat="1" applyFont="1" applyBorder="1" applyAlignment="1">
      <alignment horizontal="center" vertical="center"/>
    </xf>
    <xf numFmtId="49" fontId="50" fillId="0" borderId="8" xfId="0" applyNumberFormat="1" applyFont="1" applyBorder="1" applyAlignment="1">
      <alignment horizontal="center" vertical="center"/>
    </xf>
    <xf numFmtId="49" fontId="51" fillId="0" borderId="8" xfId="0" applyNumberFormat="1" applyFont="1" applyBorder="1" applyAlignment="1">
      <alignment horizontal="center" vertical="center"/>
    </xf>
    <xf numFmtId="49" fontId="495" fillId="0" borderId="8" xfId="0" applyNumberFormat="1" applyFont="1" applyBorder="1" applyAlignment="1">
      <alignment horizontal="center" vertical="center"/>
    </xf>
    <xf numFmtId="49" fontId="0" fillId="0" borderId="13" xfId="0" applyNumberFormat="1" applyFont="1" applyBorder="1" applyAlignment="1">
      <alignment horizontal="center" vertical="center"/>
    </xf>
    <xf numFmtId="0" fontId="512" fillId="0" borderId="8" xfId="0" applyFont="1" applyBorder="1" applyAlignment="1">
      <alignment horizontal="center" vertical="center"/>
    </xf>
    <xf numFmtId="0" fontId="395" fillId="0" borderId="8" xfId="0" applyNumberFormat="1" applyFont="1" applyBorder="1" applyAlignment="1">
      <alignment horizontal="center" vertical="center"/>
    </xf>
    <xf numFmtId="0" fontId="513" fillId="0" borderId="8" xfId="0" applyNumberFormat="1" applyFont="1" applyBorder="1" applyAlignment="1">
      <alignment horizontal="center" vertical="center"/>
    </xf>
    <xf numFmtId="0" fontId="514" fillId="0" borderId="8" xfId="0" applyNumberFormat="1" applyFont="1" applyBorder="1" applyAlignment="1">
      <alignment horizontal="center" vertical="center"/>
    </xf>
    <xf numFmtId="0" fontId="515" fillId="0" borderId="8" xfId="0" applyNumberFormat="1" applyFont="1" applyBorder="1" applyAlignment="1">
      <alignment horizontal="center" vertical="center"/>
    </xf>
    <xf numFmtId="0" fontId="371" fillId="0" borderId="8" xfId="0" applyNumberFormat="1" applyFont="1" applyBorder="1" applyAlignment="1">
      <alignment horizontal="center" vertical="center"/>
    </xf>
    <xf numFmtId="0" fontId="498" fillId="0" borderId="8" xfId="0" applyNumberFormat="1" applyFont="1" applyBorder="1" applyAlignment="1">
      <alignment horizontal="center" vertical="center"/>
    </xf>
    <xf numFmtId="0" fontId="308" fillId="0" borderId="8" xfId="0" applyNumberFormat="1" applyFont="1" applyBorder="1" applyAlignment="1">
      <alignment horizontal="center" vertical="center"/>
    </xf>
    <xf numFmtId="0" fontId="366" fillId="0" borderId="8" xfId="0" applyNumberFormat="1" applyFont="1" applyBorder="1" applyAlignment="1">
      <alignment horizontal="center" vertical="center"/>
    </xf>
    <xf numFmtId="0" fontId="499" fillId="0" borderId="8" xfId="0" applyNumberFormat="1" applyFont="1" applyBorder="1" applyAlignment="1">
      <alignment horizontal="center" vertical="center"/>
    </xf>
    <xf numFmtId="0" fontId="516" fillId="0" borderId="8" xfId="0" applyNumberFormat="1" applyFont="1" applyBorder="1" applyAlignment="1">
      <alignment horizontal="center" vertical="center"/>
    </xf>
    <xf numFmtId="0" fontId="0" fillId="0" borderId="13" xfId="0" applyNumberFormat="1" applyFont="1" applyBorder="1" applyAlignment="1">
      <alignment horizontal="center" vertical="center"/>
    </xf>
    <xf numFmtId="0" fontId="245" fillId="0" borderId="8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517" fillId="0" borderId="8" xfId="0" applyNumberFormat="1" applyFont="1" applyBorder="1" applyAlignment="1">
      <alignment horizontal="center" vertical="center"/>
    </xf>
    <xf numFmtId="0" fontId="16" fillId="0" borderId="8" xfId="0" applyNumberFormat="1" applyFont="1" applyBorder="1" applyAlignment="1">
      <alignment horizontal="center" vertical="center"/>
    </xf>
    <xf numFmtId="0" fontId="502" fillId="0" borderId="8" xfId="0" applyNumberFormat="1" applyFont="1" applyBorder="1" applyAlignment="1">
      <alignment horizontal="center" vertical="center"/>
    </xf>
    <xf numFmtId="0" fontId="384" fillId="0" borderId="8" xfId="0" applyNumberFormat="1" applyFont="1" applyBorder="1" applyAlignment="1">
      <alignment horizontal="center" vertical="center"/>
    </xf>
    <xf numFmtId="0" fontId="294" fillId="0" borderId="8" xfId="0" applyNumberFormat="1" applyFont="1" applyBorder="1" applyAlignment="1">
      <alignment horizontal="center" vertical="center"/>
    </xf>
    <xf numFmtId="0" fontId="390" fillId="0" borderId="8" xfId="0" applyNumberFormat="1" applyFont="1" applyBorder="1" applyAlignment="1">
      <alignment horizontal="center" vertical="center"/>
    </xf>
    <xf numFmtId="0" fontId="504" fillId="0" borderId="8" xfId="0" applyNumberFormat="1" applyFont="1" applyBorder="1" applyAlignment="1">
      <alignment horizontal="center" vertical="center"/>
    </xf>
    <xf numFmtId="0" fontId="505" fillId="0" borderId="8" xfId="0" applyFont="1" applyBorder="1" applyAlignment="1">
      <alignment horizontal="center" vertical="center"/>
    </xf>
    <xf numFmtId="0" fontId="363" fillId="0" borderId="13" xfId="0" applyNumberFormat="1" applyFont="1" applyBorder="1" applyAlignment="1">
      <alignment horizontal="center" vertical="center"/>
    </xf>
    <xf numFmtId="0" fontId="363" fillId="0" borderId="8" xfId="0" applyFont="1" applyBorder="1" applyAlignment="1">
      <alignment horizontal="center" vertical="center"/>
    </xf>
    <xf numFmtId="0" fontId="518" fillId="0" borderId="8" xfId="0" applyNumberFormat="1" applyFont="1" applyBorder="1" applyAlignment="1">
      <alignment horizontal="center" vertical="center"/>
    </xf>
    <xf numFmtId="0" fontId="519" fillId="0" borderId="8" xfId="0" applyNumberFormat="1" applyFont="1" applyBorder="1" applyAlignment="1">
      <alignment horizontal="center" vertical="center"/>
    </xf>
    <xf numFmtId="0" fontId="368" fillId="0" borderId="13" xfId="0" applyNumberFormat="1" applyFont="1" applyBorder="1" applyAlignment="1">
      <alignment horizontal="center" vertical="center"/>
    </xf>
    <xf numFmtId="0" fontId="368" fillId="0" borderId="8" xfId="0" applyFont="1" applyBorder="1" applyAlignment="1">
      <alignment horizontal="center" vertical="center"/>
    </xf>
    <xf numFmtId="0" fontId="153" fillId="0" borderId="13" xfId="0" applyNumberFormat="1" applyFont="1" applyBorder="1" applyAlignment="1">
      <alignment horizontal="center" vertical="center"/>
    </xf>
    <xf numFmtId="0" fontId="153" fillId="0" borderId="8" xfId="0" applyFont="1" applyBorder="1" applyAlignment="1">
      <alignment horizontal="center" vertical="center"/>
    </xf>
    <xf numFmtId="0" fontId="453" fillId="0" borderId="13" xfId="0" applyNumberFormat="1" applyFont="1" applyBorder="1" applyAlignment="1">
      <alignment horizontal="center" vertical="center"/>
    </xf>
    <xf numFmtId="0" fontId="453" fillId="0" borderId="8" xfId="0" applyFont="1" applyBorder="1" applyAlignment="1">
      <alignment horizontal="center" vertical="center"/>
    </xf>
    <xf numFmtId="0" fontId="173" fillId="0" borderId="13" xfId="0" applyNumberFormat="1" applyFont="1" applyBorder="1" applyAlignment="1">
      <alignment horizontal="center" vertical="center"/>
    </xf>
    <xf numFmtId="0" fontId="384" fillId="0" borderId="13" xfId="0" applyNumberFormat="1" applyFont="1" applyBorder="1" applyAlignment="1">
      <alignment horizontal="center" vertical="center"/>
    </xf>
    <xf numFmtId="0" fontId="294" fillId="0" borderId="13" xfId="0" applyNumberFormat="1" applyFont="1" applyBorder="1" applyAlignment="1">
      <alignment horizontal="center" vertical="center"/>
    </xf>
    <xf numFmtId="0" fontId="390" fillId="0" borderId="13" xfId="0" applyNumberFormat="1" applyFont="1" applyBorder="1" applyAlignment="1">
      <alignment horizontal="center" vertical="center"/>
    </xf>
    <xf numFmtId="0" fontId="520" fillId="0" borderId="13" xfId="0" applyNumberFormat="1" applyFont="1" applyBorder="1" applyAlignment="1">
      <alignment horizontal="center" vertical="center"/>
    </xf>
    <xf numFmtId="0" fontId="521" fillId="0" borderId="8" xfId="0" applyNumberFormat="1" applyFont="1" applyBorder="1" applyAlignment="1">
      <alignment horizontal="center" vertical="center"/>
    </xf>
    <xf numFmtId="0" fontId="522" fillId="0" borderId="8" xfId="0" applyNumberFormat="1" applyFont="1" applyBorder="1" applyAlignment="1">
      <alignment horizontal="center" vertical="center"/>
    </xf>
    <xf numFmtId="0" fontId="495" fillId="0" borderId="8" xfId="0" applyNumberFormat="1" applyFont="1" applyBorder="1" applyAlignment="1">
      <alignment horizontal="center" vertical="center"/>
    </xf>
    <xf numFmtId="0" fontId="110" fillId="0" borderId="13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508" fillId="0" borderId="8" xfId="0" applyFont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/>
    </xf>
    <xf numFmtId="49" fontId="511" fillId="2" borderId="8" xfId="0" applyNumberFormat="1" applyFont="1" applyFill="1" applyBorder="1" applyAlignment="1">
      <alignment horizontal="center" vertical="center"/>
    </xf>
    <xf numFmtId="49" fontId="508" fillId="2" borderId="8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13" xfId="0" applyNumberFormat="1" applyFont="1" applyFill="1" applyBorder="1" applyAlignment="1">
      <alignment horizontal="center" vertical="center"/>
    </xf>
    <xf numFmtId="0" fontId="533" fillId="2" borderId="8" xfId="0" applyFont="1" applyFill="1" applyBorder="1" applyAlignment="1">
      <alignment horizontal="center" vertical="center"/>
    </xf>
    <xf numFmtId="0" fontId="501" fillId="2" borderId="8" xfId="0" applyFont="1" applyFill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/>
    </xf>
    <xf numFmtId="0" fontId="166" fillId="2" borderId="8" xfId="0" applyFont="1" applyFill="1" applyBorder="1" applyAlignment="1">
      <alignment horizontal="center" vertical="center"/>
    </xf>
    <xf numFmtId="0" fontId="636" fillId="2" borderId="8" xfId="0" applyFont="1" applyFill="1" applyBorder="1" applyAlignment="1">
      <alignment horizontal="center" vertical="center"/>
    </xf>
    <xf numFmtId="2" fontId="172" fillId="2" borderId="11" xfId="0" applyNumberFormat="1" applyFont="1" applyFill="1" applyBorder="1" applyAlignment="1">
      <alignment horizontal="center" vertical="center"/>
    </xf>
    <xf numFmtId="0" fontId="326" fillId="2" borderId="12" xfId="0" applyNumberFormat="1" applyFont="1" applyFill="1" applyBorder="1" applyAlignment="1">
      <alignment horizontal="center" vertical="center"/>
    </xf>
    <xf numFmtId="0" fontId="0" fillId="0" borderId="8" xfId="0" applyFont="1" applyBorder="1" applyAlignment="1"/>
    <xf numFmtId="0" fontId="409" fillId="2" borderId="8" xfId="0" applyFont="1" applyFill="1" applyBorder="1" applyAlignment="1">
      <alignment horizontal="center" vertical="center"/>
    </xf>
    <xf numFmtId="179" fontId="155" fillId="2" borderId="8" xfId="0" applyNumberFormat="1" applyFont="1" applyFill="1" applyBorder="1" applyAlignment="1">
      <alignment horizontal="center" vertical="center"/>
    </xf>
    <xf numFmtId="184" fontId="294" fillId="2" borderId="8" xfId="0" applyNumberFormat="1" applyFont="1" applyFill="1" applyBorder="1" applyAlignment="1">
      <alignment horizontal="center" vertical="center"/>
    </xf>
    <xf numFmtId="184" fontId="347" fillId="2" borderId="8" xfId="0" applyNumberFormat="1" applyFont="1" applyFill="1" applyBorder="1" applyAlignment="1">
      <alignment horizontal="center" vertical="center"/>
    </xf>
    <xf numFmtId="184" fontId="150" fillId="2" borderId="8" xfId="0" applyNumberFormat="1" applyFont="1" applyFill="1" applyBorder="1" applyAlignment="1">
      <alignment horizontal="center" vertical="center"/>
    </xf>
    <xf numFmtId="0" fontId="505" fillId="2" borderId="8" xfId="0" applyNumberFormat="1" applyFont="1" applyFill="1" applyBorder="1" applyAlignment="1">
      <alignment horizontal="center" vertical="center"/>
    </xf>
    <xf numFmtId="0" fontId="638" fillId="0" borderId="0" xfId="0" applyFont="1" applyAlignment="1">
      <alignment horizontal="center" vertical="center"/>
    </xf>
    <xf numFmtId="0" fontId="639" fillId="2" borderId="8" xfId="0" applyNumberFormat="1" applyFont="1" applyFill="1" applyBorder="1" applyAlignment="1">
      <alignment horizontal="center" vertical="center"/>
    </xf>
    <xf numFmtId="0" fontId="367" fillId="2" borderId="8" xfId="0" applyNumberFormat="1" applyFont="1" applyFill="1" applyBorder="1" applyAlignment="1">
      <alignment horizontal="center" vertical="center"/>
    </xf>
    <xf numFmtId="179" fontId="345" fillId="2" borderId="8" xfId="0" applyNumberFormat="1" applyFont="1" applyFill="1" applyBorder="1" applyAlignment="1">
      <alignment horizontal="center" vertical="center"/>
    </xf>
    <xf numFmtId="179" fontId="160" fillId="2" borderId="8" xfId="0" applyNumberFormat="1" applyFont="1" applyFill="1" applyBorder="1" applyAlignment="1">
      <alignment horizontal="center" vertical="center"/>
    </xf>
    <xf numFmtId="179" fontId="347" fillId="2" borderId="8" xfId="0" applyNumberFormat="1" applyFont="1" applyFill="1" applyBorder="1" applyAlignment="1">
      <alignment horizontal="center" vertical="center"/>
    </xf>
    <xf numFmtId="179" fontId="159" fillId="2" borderId="8" xfId="0" applyNumberFormat="1" applyFont="1" applyFill="1" applyBorder="1" applyAlignment="1">
      <alignment horizontal="center" vertical="center"/>
    </xf>
    <xf numFmtId="179" fontId="33" fillId="2" borderId="69" xfId="0" applyNumberFormat="1" applyFont="1" applyFill="1" applyBorder="1" applyAlignment="1">
      <alignment horizontal="center" vertical="center"/>
    </xf>
    <xf numFmtId="1" fontId="233" fillId="2" borderId="12" xfId="0" applyNumberFormat="1" applyFont="1" applyFill="1" applyBorder="1" applyAlignment="1">
      <alignment horizontal="center" vertical="center"/>
    </xf>
    <xf numFmtId="0" fontId="609" fillId="0" borderId="8" xfId="9" applyFont="1" applyBorder="1" applyAlignment="1">
      <alignment horizontal="center" vertical="center"/>
    </xf>
    <xf numFmtId="0" fontId="624" fillId="0" borderId="8" xfId="9" applyFont="1" applyBorder="1" applyAlignment="1">
      <alignment horizontal="center" vertical="center"/>
    </xf>
    <xf numFmtId="0" fontId="233" fillId="0" borderId="8" xfId="9" applyFont="1" applyBorder="1" applyAlignment="1">
      <alignment horizontal="center" vertical="center"/>
    </xf>
    <xf numFmtId="0" fontId="623" fillId="0" borderId="8" xfId="9" applyFont="1" applyBorder="1" applyAlignment="1">
      <alignment horizontal="center" vertical="center"/>
    </xf>
    <xf numFmtId="0" fontId="597" fillId="0" borderId="8" xfId="0" applyFont="1" applyBorder="1" applyAlignment="1">
      <alignment horizontal="center" vertical="center"/>
    </xf>
    <xf numFmtId="0" fontId="637" fillId="0" borderId="8" xfId="0" applyFont="1" applyBorder="1" applyAlignment="1">
      <alignment horizontal="center" vertical="center"/>
    </xf>
    <xf numFmtId="0" fontId="598" fillId="0" borderId="8" xfId="0" applyFont="1" applyBorder="1" applyAlignment="1">
      <alignment horizontal="center" vertical="center"/>
    </xf>
    <xf numFmtId="0" fontId="599" fillId="0" borderId="8" xfId="0" applyFont="1" applyBorder="1" applyAlignment="1">
      <alignment horizontal="center" vertical="center"/>
    </xf>
    <xf numFmtId="0" fontId="383" fillId="0" borderId="8" xfId="0" applyFont="1" applyBorder="1" applyAlignment="1">
      <alignment horizontal="center" vertical="center"/>
    </xf>
    <xf numFmtId="0" fontId="641" fillId="0" borderId="160" xfId="9" applyFont="1" applyBorder="1" applyAlignment="1">
      <alignment horizontal="center" vertical="center"/>
    </xf>
    <xf numFmtId="0" fontId="630" fillId="0" borderId="8" xfId="0" applyFont="1" applyBorder="1" applyAlignment="1">
      <alignment horizontal="center" vertical="center"/>
    </xf>
    <xf numFmtId="0" fontId="150" fillId="0" borderId="8" xfId="0" applyFont="1" applyBorder="1" applyAlignment="1">
      <alignment horizontal="center" vertical="center"/>
    </xf>
    <xf numFmtId="0" fontId="622" fillId="0" borderId="8" xfId="0" applyFont="1" applyBorder="1" applyAlignment="1">
      <alignment horizontal="center" vertical="center"/>
    </xf>
    <xf numFmtId="0" fontId="602" fillId="0" borderId="8" xfId="0" applyFont="1" applyBorder="1" applyAlignment="1">
      <alignment horizontal="center" vertical="center"/>
    </xf>
    <xf numFmtId="2" fontId="451" fillId="0" borderId="8" xfId="0" applyNumberFormat="1" applyFont="1" applyBorder="1" applyAlignment="1">
      <alignment horizontal="center" vertical="center"/>
    </xf>
    <xf numFmtId="0" fontId="589" fillId="0" borderId="8" xfId="9" applyFont="1" applyBorder="1" applyAlignment="1">
      <alignment horizontal="center" vertical="center"/>
    </xf>
    <xf numFmtId="0" fontId="630" fillId="0" borderId="8" xfId="9" applyFont="1" applyBorder="1" applyAlignment="1">
      <alignment horizontal="center" vertical="center"/>
    </xf>
    <xf numFmtId="0" fontId="591" fillId="0" borderId="8" xfId="9" applyFont="1" applyBorder="1" applyAlignment="1">
      <alignment horizontal="center" vertical="center"/>
    </xf>
    <xf numFmtId="0" fontId="592" fillId="0" borderId="8" xfId="9" applyFont="1" applyBorder="1" applyAlignment="1">
      <alignment horizontal="center" vertical="center"/>
    </xf>
    <xf numFmtId="0" fontId="150" fillId="0" borderId="8" xfId="9" applyFont="1" applyBorder="1" applyAlignment="1">
      <alignment horizontal="center" vertical="center"/>
    </xf>
    <xf numFmtId="0" fontId="622" fillId="0" borderId="8" xfId="9" applyFont="1" applyBorder="1" applyAlignment="1">
      <alignment horizontal="center" vertical="center"/>
    </xf>
    <xf numFmtId="2" fontId="641" fillId="0" borderId="160" xfId="9" applyNumberFormat="1" applyFont="1" applyBorder="1" applyAlignment="1">
      <alignment horizontal="center" vertical="center"/>
    </xf>
    <xf numFmtId="0" fontId="163" fillId="0" borderId="8" xfId="9" applyFont="1" applyBorder="1" applyAlignment="1">
      <alignment horizontal="center" vertical="center"/>
    </xf>
    <xf numFmtId="0" fontId="633" fillId="0" borderId="8" xfId="9" applyFont="1" applyBorder="1" applyAlignment="1">
      <alignment horizontal="center" vertical="center"/>
    </xf>
    <xf numFmtId="0" fontId="595" fillId="0" borderId="8" xfId="9" applyFont="1" applyBorder="1" applyAlignment="1">
      <alignment horizontal="center" vertical="center"/>
    </xf>
    <xf numFmtId="2" fontId="630" fillId="0" borderId="8" xfId="0" applyNumberFormat="1" applyFont="1" applyBorder="1" applyAlignment="1">
      <alignment horizontal="center" vertical="center"/>
    </xf>
    <xf numFmtId="0" fontId="604" fillId="0" borderId="8" xfId="9" applyFont="1" applyBorder="1" applyAlignment="1">
      <alignment horizontal="center" vertical="center"/>
    </xf>
    <xf numFmtId="0" fontId="605" fillId="2" borderId="8" xfId="0" applyNumberFormat="1" applyFont="1" applyFill="1" applyBorder="1" applyAlignment="1">
      <alignment horizontal="center" vertical="center"/>
    </xf>
    <xf numFmtId="184" fontId="604" fillId="2" borderId="8" xfId="0" applyNumberFormat="1" applyFont="1" applyFill="1" applyBorder="1" applyAlignment="1">
      <alignment horizontal="center" vertical="center"/>
    </xf>
    <xf numFmtId="0" fontId="605" fillId="2" borderId="8" xfId="0" applyFont="1" applyFill="1" applyBorder="1" applyAlignment="1">
      <alignment horizontal="center" vertical="center"/>
    </xf>
    <xf numFmtId="0" fontId="625" fillId="0" borderId="8" xfId="9" applyFont="1" applyBorder="1" applyAlignment="1">
      <alignment horizontal="center" vertical="center"/>
    </xf>
    <xf numFmtId="0" fontId="596" fillId="0" borderId="8" xfId="0" applyFont="1" applyBorder="1" applyAlignment="1">
      <alignment horizontal="center" vertical="center"/>
    </xf>
    <xf numFmtId="0" fontId="588" fillId="0" borderId="8" xfId="9" applyFont="1" applyBorder="1" applyAlignment="1">
      <alignment horizontal="center" vertical="center"/>
    </xf>
    <xf numFmtId="0" fontId="596" fillId="2" borderId="8" xfId="0" applyFont="1" applyFill="1" applyBorder="1" applyAlignment="1">
      <alignment horizontal="center" vertical="center"/>
    </xf>
    <xf numFmtId="0" fontId="596" fillId="2" borderId="8" xfId="0" applyNumberFormat="1" applyFont="1" applyFill="1" applyBorder="1" applyAlignment="1">
      <alignment horizontal="center" vertical="center"/>
    </xf>
    <xf numFmtId="0" fontId="642" fillId="0" borderId="8" xfId="0" applyFont="1" applyBorder="1" applyAlignment="1">
      <alignment horizontal="center" vertical="center"/>
    </xf>
    <xf numFmtId="0" fontId="605" fillId="0" borderId="8" xfId="0" applyFont="1" applyBorder="1" applyAlignment="1">
      <alignment horizontal="center" vertical="center"/>
    </xf>
    <xf numFmtId="0" fontId="643" fillId="0" borderId="8" xfId="0" applyFont="1" applyBorder="1" applyAlignment="1">
      <alignment horizontal="center" vertical="center"/>
    </xf>
    <xf numFmtId="0" fontId="644" fillId="0" borderId="8" xfId="0" applyFont="1" applyBorder="1" applyAlignment="1">
      <alignment horizontal="center" vertical="center"/>
    </xf>
    <xf numFmtId="0" fontId="601" fillId="0" borderId="8" xfId="0" applyFont="1" applyBorder="1" applyAlignment="1">
      <alignment horizontal="center" vertical="center"/>
    </xf>
    <xf numFmtId="49" fontId="446" fillId="2" borderId="8" xfId="0" applyNumberFormat="1" applyFont="1" applyFill="1" applyBorder="1" applyAlignment="1">
      <alignment horizontal="center" vertical="center"/>
    </xf>
    <xf numFmtId="191" fontId="591" fillId="0" borderId="8" xfId="9" applyNumberFormat="1" applyFont="1" applyBorder="1" applyAlignment="1">
      <alignment horizontal="center" vertical="center"/>
    </xf>
    <xf numFmtId="191" fontId="163" fillId="0" borderId="8" xfId="9" applyNumberFormat="1" applyFont="1" applyBorder="1" applyAlignment="1">
      <alignment horizontal="center" vertical="center"/>
    </xf>
    <xf numFmtId="166" fontId="110" fillId="10" borderId="8" xfId="0" applyNumberFormat="1" applyFont="1" applyFill="1" applyBorder="1" applyAlignment="1">
      <alignment horizontal="center" vertical="center"/>
    </xf>
    <xf numFmtId="166" fontId="176" fillId="10" borderId="8" xfId="0" applyNumberFormat="1" applyFont="1" applyFill="1" applyBorder="1" applyAlignment="1">
      <alignment horizontal="center" vertical="center"/>
    </xf>
    <xf numFmtId="166" fontId="604" fillId="10" borderId="8" xfId="0" applyNumberFormat="1" applyFont="1" applyFill="1" applyBorder="1" applyAlignment="1">
      <alignment horizontal="center" vertical="center"/>
    </xf>
    <xf numFmtId="166" fontId="169" fillId="10" borderId="8" xfId="0" applyNumberFormat="1" applyFont="1" applyFill="1" applyBorder="1" applyAlignment="1">
      <alignment horizontal="center" vertical="center"/>
    </xf>
    <xf numFmtId="167" fontId="16" fillId="10" borderId="8" xfId="0" applyNumberFormat="1" applyFont="1" applyFill="1" applyBorder="1" applyAlignment="1">
      <alignment horizontal="center" vertical="center"/>
    </xf>
    <xf numFmtId="166" fontId="155" fillId="10" borderId="8" xfId="0" applyNumberFormat="1" applyFont="1" applyFill="1" applyBorder="1" applyAlignment="1">
      <alignment horizontal="center" vertical="center"/>
    </xf>
    <xf numFmtId="167" fontId="150" fillId="10" borderId="8" xfId="0" applyNumberFormat="1" applyFont="1" applyFill="1" applyBorder="1" applyAlignment="1">
      <alignment horizontal="center" vertical="center"/>
    </xf>
    <xf numFmtId="166" fontId="160" fillId="10" borderId="8" xfId="0" applyNumberFormat="1" applyFont="1" applyFill="1" applyBorder="1" applyAlignment="1">
      <alignment horizontal="center" vertical="center"/>
    </xf>
    <xf numFmtId="167" fontId="347" fillId="10" borderId="8" xfId="0" applyNumberFormat="1" applyFont="1" applyFill="1" applyBorder="1" applyAlignment="1">
      <alignment horizontal="center" vertical="center"/>
    </xf>
    <xf numFmtId="166" fontId="29" fillId="10" borderId="8" xfId="0" applyNumberFormat="1" applyFont="1" applyFill="1" applyBorder="1" applyAlignment="1">
      <alignment horizontal="center" vertical="center"/>
    </xf>
    <xf numFmtId="0" fontId="193" fillId="10" borderId="8" xfId="0" applyNumberFormat="1" applyFont="1" applyFill="1" applyBorder="1" applyAlignment="1">
      <alignment horizontal="center" vertical="center"/>
    </xf>
    <xf numFmtId="0" fontId="284" fillId="10" borderId="8" xfId="0" applyNumberFormat="1" applyFont="1" applyFill="1" applyBorder="1" applyAlignment="1">
      <alignment horizontal="center" vertical="center"/>
    </xf>
    <xf numFmtId="0" fontId="610" fillId="10" borderId="8" xfId="0" applyNumberFormat="1" applyFont="1" applyFill="1" applyBorder="1" applyAlignment="1">
      <alignment horizontal="center" vertical="center"/>
    </xf>
    <xf numFmtId="0" fontId="276" fillId="10" borderId="8" xfId="0" applyNumberFormat="1" applyFont="1" applyFill="1" applyBorder="1" applyAlignment="1">
      <alignment horizontal="center" vertical="center"/>
    </xf>
    <xf numFmtId="0" fontId="15" fillId="10" borderId="8" xfId="0" applyNumberFormat="1" applyFont="1" applyFill="1" applyBorder="1" applyAlignment="1">
      <alignment horizontal="center" vertical="center"/>
    </xf>
    <xf numFmtId="0" fontId="269" fillId="10" borderId="8" xfId="0" applyNumberFormat="1" applyFont="1" applyFill="1" applyBorder="1" applyAlignment="1">
      <alignment horizontal="center" vertical="center"/>
    </xf>
    <xf numFmtId="0" fontId="233" fillId="10" borderId="8" xfId="0" applyNumberFormat="1" applyFont="1" applyFill="1" applyBorder="1" applyAlignment="1">
      <alignment horizontal="center" vertical="center"/>
    </xf>
    <xf numFmtId="0" fontId="194" fillId="10" borderId="8" xfId="0" applyNumberFormat="1" applyFont="1" applyFill="1" applyBorder="1" applyAlignment="1">
      <alignment horizontal="center" vertical="center"/>
    </xf>
    <xf numFmtId="0" fontId="320" fillId="10" borderId="8" xfId="0" applyNumberFormat="1" applyFont="1" applyFill="1" applyBorder="1" applyAlignment="1">
      <alignment horizontal="center" vertical="center"/>
    </xf>
    <xf numFmtId="0" fontId="262" fillId="10" borderId="8" xfId="0" applyNumberFormat="1" applyFont="1" applyFill="1" applyBorder="1" applyAlignment="1">
      <alignment horizontal="center" vertical="center"/>
    </xf>
    <xf numFmtId="49" fontId="407" fillId="10" borderId="6" xfId="0" applyNumberFormat="1" applyFont="1" applyFill="1" applyBorder="1" applyAlignment="1">
      <alignment horizontal="center" vertical="center"/>
    </xf>
    <xf numFmtId="49" fontId="446" fillId="10" borderId="6" xfId="0" applyNumberFormat="1" applyFont="1" applyFill="1" applyBorder="1" applyAlignment="1">
      <alignment horizontal="center" vertical="center"/>
    </xf>
    <xf numFmtId="49" fontId="466" fillId="10" borderId="6" xfId="0" applyNumberFormat="1" applyFont="1" applyFill="1" applyBorder="1" applyAlignment="1">
      <alignment horizontal="center" vertical="center"/>
    </xf>
    <xf numFmtId="49" fontId="109" fillId="10" borderId="9" xfId="0" applyNumberFormat="1" applyFont="1" applyFill="1" applyBorder="1" applyAlignment="1">
      <alignment horizontal="center" vertical="center"/>
    </xf>
    <xf numFmtId="49" fontId="446" fillId="10" borderId="9" xfId="0" applyNumberFormat="1" applyFont="1" applyFill="1" applyBorder="1" applyAlignment="1">
      <alignment horizontal="center" vertical="center"/>
    </xf>
    <xf numFmtId="49" fontId="109" fillId="0" borderId="6" xfId="0" applyNumberFormat="1" applyFont="1" applyFill="1" applyBorder="1" applyAlignment="1">
      <alignment horizontal="center" vertical="center"/>
    </xf>
    <xf numFmtId="49" fontId="407" fillId="0" borderId="9" xfId="0" applyNumberFormat="1" applyFont="1" applyFill="1" applyBorder="1" applyAlignment="1">
      <alignment horizontal="center" vertical="center"/>
    </xf>
    <xf numFmtId="184" fontId="160" fillId="2" borderId="8" xfId="0" applyNumberFormat="1" applyFont="1" applyFill="1" applyBorder="1" applyAlignment="1">
      <alignment horizontal="center" vertical="center"/>
    </xf>
    <xf numFmtId="1" fontId="450" fillId="2" borderId="8" xfId="0" applyNumberFormat="1" applyFont="1" applyFill="1" applyBorder="1" applyAlignment="1">
      <alignment horizontal="center" vertical="center"/>
    </xf>
    <xf numFmtId="179" fontId="37" fillId="2" borderId="8" xfId="0" applyNumberFormat="1" applyFont="1" applyFill="1" applyBorder="1" applyAlignment="1">
      <alignment horizontal="center" vertical="center"/>
    </xf>
    <xf numFmtId="0" fontId="0" fillId="0" borderId="8" xfId="0" applyFont="1" applyBorder="1" applyAlignment="1"/>
    <xf numFmtId="0" fontId="37" fillId="2" borderId="8" xfId="0" applyFont="1" applyFill="1" applyBorder="1" applyAlignment="1">
      <alignment horizontal="center" vertical="center"/>
    </xf>
    <xf numFmtId="191" fontId="16" fillId="2" borderId="8" xfId="0" applyNumberFormat="1" applyFont="1" applyFill="1" applyBorder="1" applyAlignment="1">
      <alignment horizontal="center" vertical="center"/>
    </xf>
    <xf numFmtId="1" fontId="159" fillId="2" borderId="8" xfId="0" applyNumberFormat="1" applyFont="1" applyFill="1" applyBorder="1" applyAlignment="1">
      <alignment horizontal="center" vertical="center"/>
    </xf>
    <xf numFmtId="2" fontId="211" fillId="2" borderId="8" xfId="0" applyNumberFormat="1" applyFont="1" applyFill="1" applyBorder="1" applyAlignment="1">
      <alignment horizontal="center" vertical="center"/>
    </xf>
    <xf numFmtId="2" fontId="362" fillId="2" borderId="8" xfId="0" applyNumberFormat="1" applyFont="1" applyFill="1" applyBorder="1" applyAlignment="1">
      <alignment horizontal="center" vertical="center"/>
    </xf>
    <xf numFmtId="2" fontId="365" fillId="2" borderId="8" xfId="0" applyNumberFormat="1" applyFont="1" applyFill="1" applyBorder="1" applyAlignment="1">
      <alignment horizontal="center" vertical="center"/>
    </xf>
    <xf numFmtId="2" fontId="394" fillId="2" borderId="8" xfId="0" applyNumberFormat="1" applyFont="1" applyFill="1" applyBorder="1" applyAlignment="1">
      <alignment horizontal="center" vertical="center"/>
    </xf>
    <xf numFmtId="2" fontId="372" fillId="2" borderId="8" xfId="0" applyNumberFormat="1" applyFont="1" applyFill="1" applyBorder="1" applyAlignment="1">
      <alignment horizontal="center" vertical="center"/>
    </xf>
    <xf numFmtId="2" fontId="388" fillId="2" borderId="8" xfId="0" applyNumberFormat="1" applyFont="1" applyFill="1" applyBorder="1" applyAlignment="1">
      <alignment horizontal="center" vertical="center"/>
    </xf>
    <xf numFmtId="2" fontId="383" fillId="2" borderId="8" xfId="0" applyNumberFormat="1" applyFont="1" applyFill="1" applyBorder="1" applyAlignment="1">
      <alignment horizontal="center" vertical="center"/>
    </xf>
    <xf numFmtId="186" fontId="245" fillId="2" borderId="75" xfId="0" applyNumberFormat="1" applyFont="1" applyFill="1" applyBorder="1" applyAlignment="1">
      <alignment horizontal="center" vertical="center"/>
    </xf>
    <xf numFmtId="186" fontId="155" fillId="2" borderId="75" xfId="0" applyNumberFormat="1" applyFont="1" applyFill="1" applyBorder="1" applyAlignment="1">
      <alignment horizontal="center" vertical="center"/>
    </xf>
    <xf numFmtId="186" fontId="150" fillId="2" borderId="75" xfId="0" applyNumberFormat="1" applyFont="1" applyFill="1" applyBorder="1" applyAlignment="1">
      <alignment horizontal="center" vertical="center"/>
    </xf>
    <xf numFmtId="186" fontId="160" fillId="2" borderId="75" xfId="0" applyNumberFormat="1" applyFont="1" applyFill="1" applyBorder="1" applyAlignment="1">
      <alignment horizontal="center" vertical="center"/>
    </xf>
    <xf numFmtId="186" fontId="29" fillId="2" borderId="75" xfId="0" applyNumberFormat="1" applyFont="1" applyFill="1" applyBorder="1" applyAlignment="1">
      <alignment horizontal="center" vertical="center"/>
    </xf>
    <xf numFmtId="189" fontId="176" fillId="2" borderId="75" xfId="0" applyNumberFormat="1" applyFont="1" applyFill="1" applyBorder="1" applyAlignment="1">
      <alignment horizontal="center" vertical="center"/>
    </xf>
    <xf numFmtId="189" fontId="345" fillId="2" borderId="75" xfId="0" applyNumberFormat="1" applyFont="1" applyFill="1" applyBorder="1" applyAlignment="1">
      <alignment horizontal="center" vertical="center"/>
    </xf>
    <xf numFmtId="189" fontId="169" fillId="2" borderId="75" xfId="0" applyNumberFormat="1" applyFont="1" applyFill="1" applyBorder="1" applyAlignment="1">
      <alignment horizontal="center" vertical="center"/>
    </xf>
    <xf numFmtId="189" fontId="16" fillId="2" borderId="75" xfId="0" applyNumberFormat="1" applyFont="1" applyFill="1" applyBorder="1" applyAlignment="1">
      <alignment horizontal="center" vertical="center"/>
    </xf>
    <xf numFmtId="189" fontId="347" fillId="2" borderId="75" xfId="0" applyNumberFormat="1" applyFont="1" applyFill="1" applyBorder="1" applyAlignment="1">
      <alignment horizontal="center" vertical="center"/>
    </xf>
    <xf numFmtId="189" fontId="176" fillId="2" borderId="8" xfId="0" applyNumberFormat="1" applyFont="1" applyFill="1" applyBorder="1" applyAlignment="1">
      <alignment horizontal="center" vertical="center"/>
    </xf>
    <xf numFmtId="186" fontId="150" fillId="2" borderId="8" xfId="0" applyNumberFormat="1" applyFont="1" applyFill="1" applyBorder="1" applyAlignment="1">
      <alignment horizontal="center" vertical="center"/>
    </xf>
    <xf numFmtId="186" fontId="29" fillId="2" borderId="8" xfId="0" applyNumberFormat="1" applyFont="1" applyFill="1" applyBorder="1" applyAlignment="1">
      <alignment horizontal="center" vertical="center"/>
    </xf>
    <xf numFmtId="0" fontId="333" fillId="2" borderId="9" xfId="0" applyNumberFormat="1" applyFont="1" applyFill="1" applyBorder="1" applyAlignment="1">
      <alignment horizontal="center" vertical="center"/>
    </xf>
    <xf numFmtId="0" fontId="339" fillId="2" borderId="6" xfId="0" applyFont="1" applyFill="1" applyBorder="1" applyAlignment="1">
      <alignment horizontal="center" vertical="center"/>
    </xf>
    <xf numFmtId="0" fontId="245" fillId="2" borderId="6" xfId="0" applyFont="1" applyFill="1" applyBorder="1" applyAlignment="1">
      <alignment horizontal="center" vertical="center"/>
    </xf>
    <xf numFmtId="0" fontId="363" fillId="2" borderId="6" xfId="0" applyFont="1" applyFill="1" applyBorder="1" applyAlignment="1">
      <alignment horizontal="center" vertical="center"/>
    </xf>
    <xf numFmtId="0" fontId="368" fillId="2" borderId="6" xfId="0" applyFont="1" applyFill="1" applyBorder="1" applyAlignment="1">
      <alignment horizontal="center" vertical="center"/>
    </xf>
    <xf numFmtId="0" fontId="15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73" fillId="2" borderId="6" xfId="0" applyFont="1" applyFill="1" applyBorder="1" applyAlignment="1">
      <alignment horizontal="center" vertical="center"/>
    </xf>
    <xf numFmtId="0" fontId="384" fillId="2" borderId="6" xfId="0" applyFont="1" applyFill="1" applyBorder="1" applyAlignment="1">
      <alignment horizontal="center" vertical="center"/>
    </xf>
    <xf numFmtId="0" fontId="294" fillId="2" borderId="6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346" fillId="2" borderId="8" xfId="0" applyFont="1" applyFill="1" applyBorder="1" applyAlignment="1">
      <alignment horizontal="center" vertical="center"/>
    </xf>
    <xf numFmtId="0" fontId="344" fillId="2" borderId="8" xfId="0" applyFont="1" applyFill="1" applyBorder="1" applyAlignment="1">
      <alignment horizontal="center" vertical="center"/>
    </xf>
    <xf numFmtId="49" fontId="128" fillId="4" borderId="161" xfId="0" applyNumberFormat="1" applyFont="1" applyFill="1" applyBorder="1" applyAlignment="1">
      <alignment horizontal="center" vertical="center"/>
    </xf>
    <xf numFmtId="49" fontId="128" fillId="4" borderId="162" xfId="0" applyNumberFormat="1" applyFont="1" applyFill="1" applyBorder="1" applyAlignment="1">
      <alignment horizontal="left" vertical="center"/>
    </xf>
    <xf numFmtId="49" fontId="128" fillId="4" borderId="162" xfId="0" applyNumberFormat="1" applyFont="1" applyFill="1" applyBorder="1" applyAlignment="1">
      <alignment horizontal="center" vertical="center"/>
    </xf>
    <xf numFmtId="49" fontId="128" fillId="4" borderId="163" xfId="0" applyNumberFormat="1" applyFont="1" applyFill="1" applyBorder="1" applyAlignment="1">
      <alignment horizontal="center" vertical="center"/>
    </xf>
    <xf numFmtId="2" fontId="324" fillId="2" borderId="164" xfId="0" applyNumberFormat="1" applyFont="1" applyFill="1" applyBorder="1" applyAlignment="1">
      <alignment horizontal="center" vertical="center"/>
    </xf>
    <xf numFmtId="2" fontId="300" fillId="2" borderId="164" xfId="0" applyNumberFormat="1" applyFont="1" applyFill="1" applyBorder="1" applyAlignment="1">
      <alignment horizontal="center" vertical="center"/>
    </xf>
    <xf numFmtId="2" fontId="251" fillId="2" borderId="164" xfId="0" applyNumberFormat="1" applyFont="1" applyFill="1" applyBorder="1" applyAlignment="1">
      <alignment horizontal="center" vertical="center"/>
    </xf>
    <xf numFmtId="0" fontId="274" fillId="2" borderId="160" xfId="0" applyNumberFormat="1" applyFont="1" applyFill="1" applyBorder="1" applyAlignment="1">
      <alignment horizontal="center" vertical="center"/>
    </xf>
    <xf numFmtId="2" fontId="267" fillId="2" borderId="164" xfId="0" applyNumberFormat="1" applyFont="1" applyFill="1" applyBorder="1" applyAlignment="1">
      <alignment horizontal="center" vertical="center"/>
    </xf>
    <xf numFmtId="2" fontId="317" fillId="2" borderId="164" xfId="0" applyNumberFormat="1" applyFont="1" applyFill="1" applyBorder="1" applyAlignment="1">
      <alignment horizontal="center" vertical="center"/>
    </xf>
    <xf numFmtId="2" fontId="235" fillId="2" borderId="164" xfId="0" applyNumberFormat="1" applyFont="1" applyFill="1" applyBorder="1" applyAlignment="1">
      <alignment horizontal="center" vertical="center"/>
    </xf>
    <xf numFmtId="2" fontId="229" fillId="2" borderId="164" xfId="0" applyNumberFormat="1" applyFont="1" applyFill="1" applyBorder="1" applyAlignment="1">
      <alignment horizontal="center" vertical="center"/>
    </xf>
    <xf numFmtId="0" fontId="276" fillId="2" borderId="160" xfId="0" applyNumberFormat="1" applyFont="1" applyFill="1" applyBorder="1" applyAlignment="1">
      <alignment horizontal="center" vertical="center"/>
    </xf>
    <xf numFmtId="2" fontId="169" fillId="2" borderId="164" xfId="0" applyNumberFormat="1" applyFont="1" applyFill="1" applyBorder="1" applyAlignment="1">
      <alignment horizontal="center" vertical="center"/>
    </xf>
    <xf numFmtId="0" fontId="284" fillId="2" borderId="160" xfId="0" applyNumberFormat="1" applyFont="1" applyFill="1" applyBorder="1" applyAlignment="1">
      <alignment horizontal="center" vertical="center"/>
    </xf>
    <xf numFmtId="2" fontId="176" fillId="2" borderId="164" xfId="0" applyNumberFormat="1" applyFont="1" applyFill="1" applyBorder="1" applyAlignment="1">
      <alignment horizontal="center" vertical="center"/>
    </xf>
    <xf numFmtId="2" fontId="16" fillId="2" borderId="164" xfId="0" applyNumberFormat="1" applyFont="1" applyFill="1" applyBorder="1" applyAlignment="1">
      <alignment horizontal="center" vertical="center"/>
    </xf>
    <xf numFmtId="0" fontId="326" fillId="2" borderId="160" xfId="0" applyNumberFormat="1" applyFont="1" applyFill="1" applyBorder="1" applyAlignment="1">
      <alignment horizontal="center" vertical="center"/>
    </xf>
    <xf numFmtId="2" fontId="172" fillId="2" borderId="164" xfId="0" applyNumberFormat="1" applyFont="1" applyFill="1" applyBorder="1" applyAlignment="1">
      <alignment horizontal="center" vertical="center"/>
    </xf>
    <xf numFmtId="0" fontId="269" fillId="2" borderId="160" xfId="0" applyNumberFormat="1" applyFont="1" applyFill="1" applyBorder="1" applyAlignment="1">
      <alignment horizontal="center" vertical="center"/>
    </xf>
    <xf numFmtId="2" fontId="155" fillId="2" borderId="164" xfId="0" applyNumberFormat="1" applyFont="1" applyFill="1" applyBorder="1" applyAlignment="1">
      <alignment horizontal="center" vertical="center"/>
    </xf>
    <xf numFmtId="0" fontId="233" fillId="2" borderId="160" xfId="0" applyNumberFormat="1" applyFont="1" applyFill="1" applyBorder="1" applyAlignment="1">
      <alignment horizontal="center" vertical="center"/>
    </xf>
    <xf numFmtId="2" fontId="150" fillId="2" borderId="164" xfId="0" applyNumberFormat="1" applyFont="1" applyFill="1" applyBorder="1" applyAlignment="1">
      <alignment horizontal="center" vertical="center"/>
    </xf>
    <xf numFmtId="0" fontId="288" fillId="2" borderId="160" xfId="0" applyNumberFormat="1" applyFont="1" applyFill="1" applyBorder="1" applyAlignment="1">
      <alignment horizontal="center" vertical="center"/>
    </xf>
    <xf numFmtId="2" fontId="163" fillId="2" borderId="164" xfId="0" applyNumberFormat="1" applyFont="1" applyFill="1" applyBorder="1" applyAlignment="1">
      <alignment horizontal="center" vertical="center"/>
    </xf>
    <xf numFmtId="0" fontId="280" fillId="2" borderId="160" xfId="0" applyNumberFormat="1" applyFont="1" applyFill="1" applyBorder="1" applyAlignment="1">
      <alignment horizontal="center" vertical="center"/>
    </xf>
    <xf numFmtId="2" fontId="37" fillId="2" borderId="164" xfId="0" applyNumberFormat="1" applyFont="1" applyFill="1" applyBorder="1" applyAlignment="1">
      <alignment horizontal="center" vertical="center"/>
    </xf>
    <xf numFmtId="2" fontId="29" fillId="2" borderId="164" xfId="0" applyNumberFormat="1" applyFont="1" applyFill="1" applyBorder="1" applyAlignment="1">
      <alignment horizontal="center" vertical="center"/>
    </xf>
    <xf numFmtId="49" fontId="154" fillId="4" borderId="163" xfId="0" applyNumberFormat="1" applyFont="1" applyFill="1" applyBorder="1" applyAlignment="1">
      <alignment horizontal="center" vertical="center"/>
    </xf>
    <xf numFmtId="0" fontId="354" fillId="2" borderId="160" xfId="0" applyNumberFormat="1" applyFont="1" applyFill="1" applyBorder="1" applyAlignment="1">
      <alignment horizontal="center" vertical="center"/>
    </xf>
    <xf numFmtId="0" fontId="341" fillId="2" borderId="160" xfId="0" applyNumberFormat="1" applyFont="1" applyFill="1" applyBorder="1" applyAlignment="1">
      <alignment horizontal="center" vertical="center"/>
    </xf>
    <xf numFmtId="0" fontId="385" fillId="2" borderId="160" xfId="0" applyNumberFormat="1" applyFont="1" applyFill="1" applyBorder="1" applyAlignment="1">
      <alignment horizontal="center" vertical="center"/>
    </xf>
    <xf numFmtId="0" fontId="352" fillId="2" borderId="160" xfId="0" applyNumberFormat="1" applyFont="1" applyFill="1" applyBorder="1" applyAlignment="1">
      <alignment horizontal="center" vertical="center"/>
    </xf>
    <xf numFmtId="0" fontId="340" fillId="2" borderId="160" xfId="0" applyNumberFormat="1" applyFont="1" applyFill="1" applyBorder="1" applyAlignment="1">
      <alignment horizontal="center" vertical="center"/>
    </xf>
    <xf numFmtId="2" fontId="245" fillId="2" borderId="164" xfId="0" applyNumberFormat="1" applyFont="1" applyFill="1" applyBorder="1" applyAlignment="1">
      <alignment horizontal="center" vertical="center"/>
    </xf>
    <xf numFmtId="0" fontId="342" fillId="2" borderId="160" xfId="0" applyNumberFormat="1" applyFont="1" applyFill="1" applyBorder="1" applyAlignment="1">
      <alignment horizontal="center" vertical="center"/>
    </xf>
    <xf numFmtId="0" fontId="213" fillId="2" borderId="160" xfId="0" applyNumberFormat="1" applyFont="1" applyFill="1" applyBorder="1" applyAlignment="1">
      <alignment horizontal="center" vertical="center"/>
    </xf>
    <xf numFmtId="2" fontId="294" fillId="2" borderId="164" xfId="0" applyNumberFormat="1" applyFont="1" applyFill="1" applyBorder="1" applyAlignment="1">
      <alignment horizontal="center" vertical="center"/>
    </xf>
    <xf numFmtId="0" fontId="348" fillId="2" borderId="160" xfId="0" applyNumberFormat="1" applyFont="1" applyFill="1" applyBorder="1" applyAlignment="1">
      <alignment horizontal="center" vertical="center"/>
    </xf>
    <xf numFmtId="0" fontId="0" fillId="0" borderId="8" xfId="0" applyFont="1" applyBorder="1" applyAlignment="1"/>
    <xf numFmtId="0" fontId="361" fillId="2" borderId="58" xfId="0" applyNumberFormat="1" applyFont="1" applyFill="1" applyBorder="1" applyAlignment="1">
      <alignment horizontal="center" vertical="center"/>
    </xf>
    <xf numFmtId="49" fontId="86" fillId="2" borderId="59" xfId="0" applyNumberFormat="1" applyFont="1" applyFill="1" applyBorder="1" applyAlignment="1">
      <alignment horizontal="center" vertical="center"/>
    </xf>
    <xf numFmtId="49" fontId="98" fillId="2" borderId="59" xfId="0" applyNumberFormat="1" applyFont="1" applyFill="1" applyBorder="1" applyAlignment="1">
      <alignment horizontal="center" vertical="center"/>
    </xf>
    <xf numFmtId="2" fontId="37" fillId="2" borderId="59" xfId="0" applyNumberFormat="1" applyFont="1" applyFill="1" applyBorder="1" applyAlignment="1">
      <alignment horizontal="center" vertical="center"/>
    </xf>
    <xf numFmtId="2" fontId="280" fillId="2" borderId="59" xfId="0" applyNumberFormat="1" applyFont="1" applyFill="1" applyBorder="1" applyAlignment="1">
      <alignment horizontal="center" vertical="center"/>
    </xf>
    <xf numFmtId="0" fontId="0" fillId="0" borderId="8" xfId="0" applyFont="1" applyBorder="1" applyAlignment="1"/>
    <xf numFmtId="0" fontId="409" fillId="2" borderId="8" xfId="0" applyFont="1" applyFill="1" applyBorder="1" applyAlignment="1">
      <alignment horizontal="center" vertical="center"/>
    </xf>
    <xf numFmtId="170" fontId="588" fillId="2" borderId="41" xfId="0" applyNumberFormat="1" applyFont="1" applyFill="1" applyBorder="1" applyAlignment="1">
      <alignment horizontal="center" vertical="center"/>
    </xf>
    <xf numFmtId="2" fontId="617" fillId="2" borderId="47" xfId="0" applyNumberFormat="1" applyFont="1" applyFill="1" applyBorder="1" applyAlignment="1">
      <alignment horizontal="center" vertical="center"/>
    </xf>
    <xf numFmtId="2" fontId="77" fillId="2" borderId="154" xfId="0" applyNumberFormat="1" applyFont="1" applyFill="1" applyBorder="1" applyAlignment="1">
      <alignment horizontal="center" vertical="center"/>
    </xf>
    <xf numFmtId="2" fontId="164" fillId="2" borderId="42" xfId="0" applyNumberFormat="1" applyFont="1" applyFill="1" applyBorder="1" applyAlignment="1">
      <alignment horizontal="center" vertical="center"/>
    </xf>
    <xf numFmtId="2" fontId="0" fillId="2" borderId="47" xfId="0" applyNumberFormat="1" applyFont="1" applyFill="1" applyBorder="1" applyAlignment="1">
      <alignment horizontal="center" vertical="center"/>
    </xf>
    <xf numFmtId="2" fontId="77" fillId="2" borderId="48" xfId="0" applyNumberFormat="1" applyFont="1" applyFill="1" applyBorder="1" applyAlignment="1">
      <alignment horizontal="center" vertical="center"/>
    </xf>
    <xf numFmtId="2" fontId="618" fillId="2" borderId="48" xfId="0" applyNumberFormat="1" applyFont="1" applyFill="1" applyBorder="1" applyAlignment="1">
      <alignment horizontal="center" vertical="center"/>
    </xf>
    <xf numFmtId="0" fontId="166" fillId="2" borderId="42" xfId="0" applyFont="1" applyFill="1" applyBorder="1" applyAlignment="1">
      <alignment horizontal="center" vertical="center"/>
    </xf>
    <xf numFmtId="0" fontId="626" fillId="2" borderId="42" xfId="0" applyFont="1" applyFill="1" applyBorder="1" applyAlignment="1">
      <alignment horizontal="center" vertical="center"/>
    </xf>
    <xf numFmtId="2" fontId="626" fillId="2" borderId="42" xfId="0" applyNumberFormat="1" applyFont="1" applyFill="1" applyBorder="1" applyAlignment="1">
      <alignment horizontal="center" vertical="center"/>
    </xf>
    <xf numFmtId="2" fontId="77" fillId="2" borderId="157" xfId="0" applyNumberFormat="1" applyFont="1" applyFill="1" applyBorder="1" applyAlignment="1">
      <alignment horizontal="center" vertical="center"/>
    </xf>
    <xf numFmtId="170" fontId="645" fillId="2" borderId="41" xfId="0" applyNumberFormat="1" applyFont="1" applyFill="1" applyBorder="1" applyAlignment="1">
      <alignment horizontal="center" vertical="center"/>
    </xf>
    <xf numFmtId="170" fontId="165" fillId="2" borderId="41" xfId="0" applyNumberFormat="1" applyFont="1" applyFill="1" applyBorder="1" applyAlignment="1">
      <alignment horizontal="center" vertical="center"/>
    </xf>
    <xf numFmtId="0" fontId="95" fillId="2" borderId="42" xfId="0" applyFont="1" applyFill="1" applyBorder="1" applyAlignment="1">
      <alignment horizontal="center" vertical="center"/>
    </xf>
    <xf numFmtId="2" fontId="0" fillId="2" borderId="47" xfId="0" applyNumberFormat="1" applyFont="1" applyFill="1" applyBorder="1" applyAlignment="1">
      <alignment vertical="center"/>
    </xf>
    <xf numFmtId="1" fontId="164" fillId="2" borderId="42" xfId="0" applyNumberFormat="1" applyFont="1" applyFill="1" applyBorder="1" applyAlignment="1">
      <alignment horizontal="center" vertical="center"/>
    </xf>
    <xf numFmtId="1" fontId="196" fillId="2" borderId="42" xfId="0" applyNumberFormat="1" applyFont="1" applyFill="1" applyBorder="1" applyAlignment="1">
      <alignment horizontal="center" vertical="center"/>
    </xf>
    <xf numFmtId="2" fontId="198" fillId="2" borderId="48" xfId="0" applyNumberFormat="1" applyFont="1" applyFill="1" applyBorder="1" applyAlignment="1">
      <alignment horizontal="center" vertical="center"/>
    </xf>
    <xf numFmtId="0" fontId="164" fillId="2" borderId="42" xfId="0" applyFont="1" applyFill="1" applyBorder="1" applyAlignment="1">
      <alignment horizontal="center" vertical="center"/>
    </xf>
    <xf numFmtId="9" fontId="588" fillId="2" borderId="41" xfId="10" applyFont="1" applyFill="1" applyBorder="1" applyAlignment="1">
      <alignment horizontal="center" vertical="center"/>
    </xf>
    <xf numFmtId="170" fontId="588" fillId="2" borderId="41" xfId="0" applyNumberFormat="1" applyFont="1" applyFill="1" applyBorder="1" applyAlignment="1">
      <alignment vertical="center"/>
    </xf>
    <xf numFmtId="2" fontId="166" fillId="2" borderId="42" xfId="0" applyNumberFormat="1" applyFont="1" applyFill="1" applyBorder="1" applyAlignment="1">
      <alignment horizontal="center" vertical="center"/>
    </xf>
    <xf numFmtId="0" fontId="164" fillId="2" borderId="151" xfId="0" applyFont="1" applyFill="1" applyBorder="1" applyAlignment="1">
      <alignment horizontal="center" vertical="center"/>
    </xf>
    <xf numFmtId="2" fontId="0" fillId="2" borderId="153" xfId="0" applyNumberFormat="1" applyFont="1" applyFill="1" applyBorder="1" applyAlignment="1">
      <alignment vertical="center"/>
    </xf>
    <xf numFmtId="2" fontId="413" fillId="2" borderId="8" xfId="0" applyNumberFormat="1" applyFont="1" applyFill="1" applyBorder="1" applyAlignment="1">
      <alignment horizontal="center" vertical="center"/>
    </xf>
    <xf numFmtId="0" fontId="436" fillId="2" borderId="8" xfId="0" applyFont="1" applyFill="1" applyBorder="1" applyAlignment="1"/>
    <xf numFmtId="0" fontId="431" fillId="2" borderId="8" xfId="0" applyFont="1" applyFill="1" applyBorder="1" applyAlignment="1">
      <alignment horizontal="center" vertical="center"/>
    </xf>
    <xf numFmtId="49" fontId="119" fillId="4" borderId="161" xfId="0" applyNumberFormat="1" applyFont="1" applyFill="1" applyBorder="1" applyAlignment="1">
      <alignment horizontal="center" vertical="center"/>
    </xf>
    <xf numFmtId="49" fontId="119" fillId="4" borderId="162" xfId="0" applyNumberFormat="1" applyFont="1" applyFill="1" applyBorder="1" applyAlignment="1">
      <alignment horizontal="center" vertical="center"/>
    </xf>
    <xf numFmtId="49" fontId="118" fillId="4" borderId="162" xfId="0" applyNumberFormat="1" applyFont="1" applyFill="1" applyBorder="1" applyAlignment="1">
      <alignment horizontal="center" vertical="center"/>
    </xf>
    <xf numFmtId="0" fontId="412" fillId="2" borderId="160" xfId="0" applyFont="1" applyFill="1" applyBorder="1" applyAlignment="1">
      <alignment horizontal="center" vertical="center"/>
    </xf>
    <xf numFmtId="2" fontId="188" fillId="2" borderId="164" xfId="0" applyNumberFormat="1" applyFont="1" applyFill="1" applyBorder="1" applyAlignment="1">
      <alignment horizontal="center" vertical="center"/>
    </xf>
    <xf numFmtId="0" fontId="412" fillId="2" borderId="165" xfId="0" applyFont="1" applyFill="1" applyBorder="1" applyAlignment="1">
      <alignment horizontal="center" vertical="center"/>
    </xf>
    <xf numFmtId="2" fontId="160" fillId="0" borderId="8" xfId="0" applyNumberFormat="1" applyFont="1" applyBorder="1" applyAlignment="1"/>
    <xf numFmtId="49" fontId="162" fillId="2" borderId="8" xfId="0" applyNumberFormat="1" applyFont="1" applyFill="1" applyBorder="1" applyAlignment="1">
      <alignment horizontal="right" vertical="center"/>
    </xf>
    <xf numFmtId="1" fontId="428" fillId="2" borderId="8" xfId="0" applyNumberFormat="1" applyFont="1" applyFill="1" applyBorder="1" applyAlignment="1">
      <alignment horizontal="left"/>
    </xf>
    <xf numFmtId="49" fontId="616" fillId="2" borderId="8" xfId="0" applyNumberFormat="1" applyFont="1" applyFill="1" applyBorder="1" applyAlignment="1">
      <alignment horizontal="right" vertical="center"/>
    </xf>
    <xf numFmtId="49" fontId="614" fillId="2" borderId="8" xfId="0" applyNumberFormat="1" applyFont="1" applyFill="1" applyBorder="1" applyAlignment="1">
      <alignment horizontal="right" vertical="center"/>
    </xf>
    <xf numFmtId="49" fontId="615" fillId="2" borderId="8" xfId="0" applyNumberFormat="1" applyFont="1" applyFill="1" applyBorder="1" applyAlignment="1">
      <alignment horizontal="right" vertical="center"/>
    </xf>
    <xf numFmtId="1" fontId="647" fillId="2" borderId="8" xfId="0" applyNumberFormat="1" applyFont="1" applyFill="1" applyBorder="1" applyAlignment="1">
      <alignment horizontal="left"/>
    </xf>
    <xf numFmtId="1" fontId="648" fillId="2" borderId="8" xfId="0" applyNumberFormat="1" applyFont="1" applyFill="1" applyBorder="1" applyAlignment="1">
      <alignment horizontal="left"/>
    </xf>
    <xf numFmtId="1" fontId="649" fillId="2" borderId="8" xfId="0" applyNumberFormat="1" applyFont="1" applyFill="1" applyBorder="1" applyAlignment="1">
      <alignment horizontal="left"/>
    </xf>
    <xf numFmtId="1" fontId="650" fillId="2" borderId="8" xfId="0" applyNumberFormat="1" applyFont="1" applyFill="1" applyBorder="1" applyAlignment="1">
      <alignment horizontal="left"/>
    </xf>
    <xf numFmtId="1" fontId="652" fillId="2" borderId="8" xfId="0" applyNumberFormat="1" applyFont="1" applyFill="1" applyBorder="1" applyAlignment="1">
      <alignment horizontal="left"/>
    </xf>
    <xf numFmtId="1" fontId="653" fillId="2" borderId="8" xfId="0" applyNumberFormat="1" applyFont="1" applyFill="1" applyBorder="1" applyAlignment="1">
      <alignment horizontal="left"/>
    </xf>
    <xf numFmtId="1" fontId="654" fillId="2" borderId="8" xfId="0" applyNumberFormat="1" applyFont="1" applyFill="1" applyBorder="1" applyAlignment="1">
      <alignment horizontal="left"/>
    </xf>
    <xf numFmtId="1" fontId="656" fillId="2" borderId="8" xfId="0" applyNumberFormat="1" applyFont="1" applyFill="1" applyBorder="1" applyAlignment="1">
      <alignment horizontal="left"/>
    </xf>
    <xf numFmtId="1" fontId="657" fillId="2" borderId="8" xfId="0" applyNumberFormat="1" applyFont="1" applyFill="1" applyBorder="1" applyAlignment="1">
      <alignment horizontal="left"/>
    </xf>
    <xf numFmtId="1" fontId="659" fillId="2" borderId="8" xfId="0" applyNumberFormat="1" applyFont="1" applyFill="1" applyBorder="1" applyAlignment="1">
      <alignment horizontal="left" vertical="center"/>
    </xf>
    <xf numFmtId="1" fontId="661" fillId="2" borderId="8" xfId="0" applyNumberFormat="1" applyFont="1" applyFill="1" applyBorder="1" applyAlignment="1">
      <alignment horizontal="left" vertical="center"/>
    </xf>
    <xf numFmtId="1" fontId="662" fillId="2" borderId="8" xfId="0" applyNumberFormat="1" applyFont="1" applyFill="1" applyBorder="1" applyAlignment="1">
      <alignment horizontal="left" vertical="center"/>
    </xf>
    <xf numFmtId="1" fontId="663" fillId="2" borderId="8" xfId="0" applyNumberFormat="1" applyFont="1" applyFill="1" applyBorder="1" applyAlignment="1">
      <alignment horizontal="left" vertical="center"/>
    </xf>
    <xf numFmtId="1" fontId="664" fillId="2" borderId="8" xfId="0" applyNumberFormat="1" applyFont="1" applyFill="1" applyBorder="1" applyAlignment="1">
      <alignment horizontal="left" vertical="center"/>
    </xf>
    <xf numFmtId="1" fontId="665" fillId="2" borderId="8" xfId="0" applyNumberFormat="1" applyFont="1" applyFill="1" applyBorder="1" applyAlignment="1">
      <alignment horizontal="left" vertical="center"/>
    </xf>
    <xf numFmtId="2" fontId="588" fillId="2" borderId="8" xfId="0" applyNumberFormat="1" applyFont="1" applyFill="1" applyBorder="1" applyAlignment="1">
      <alignment horizontal="left" vertical="center"/>
    </xf>
    <xf numFmtId="2" fontId="0" fillId="2" borderId="3" xfId="0" applyNumberFormat="1" applyFont="1" applyFill="1" applyBorder="1" applyAlignment="1">
      <alignment horizontal="left"/>
    </xf>
    <xf numFmtId="2" fontId="409" fillId="2" borderId="8" xfId="0" applyNumberFormat="1" applyFont="1" applyFill="1" applyBorder="1" applyAlignment="1">
      <alignment horizontal="left" vertical="center"/>
    </xf>
    <xf numFmtId="2" fontId="588" fillId="2" borderId="8" xfId="0" applyNumberFormat="1" applyFont="1" applyFill="1" applyBorder="1" applyAlignment="1">
      <alignment horizontal="left"/>
    </xf>
    <xf numFmtId="2" fontId="0" fillId="2" borderId="21" xfId="0" applyNumberFormat="1" applyFont="1" applyFill="1" applyBorder="1" applyAlignment="1">
      <alignment horizontal="left"/>
    </xf>
    <xf numFmtId="2" fontId="0" fillId="0" borderId="0" xfId="0" applyNumberFormat="1" applyFont="1" applyAlignment="1">
      <alignment horizontal="left"/>
    </xf>
    <xf numFmtId="2" fontId="588" fillId="0" borderId="8" xfId="0" applyNumberFormat="1" applyFont="1" applyBorder="1" applyAlignment="1">
      <alignment horizontal="left"/>
    </xf>
    <xf numFmtId="2" fontId="128" fillId="0" borderId="8" xfId="0" applyNumberFormat="1" applyFont="1" applyFill="1" applyBorder="1" applyAlignment="1">
      <alignment horizontal="left" vertical="center"/>
    </xf>
    <xf numFmtId="0" fontId="0" fillId="0" borderId="8" xfId="0" applyFont="1" applyBorder="1" applyAlignment="1"/>
    <xf numFmtId="0" fontId="0" fillId="0" borderId="8" xfId="0" applyFont="1" applyFill="1" applyBorder="1" applyAlignment="1"/>
    <xf numFmtId="0" fontId="0" fillId="0" borderId="8" xfId="0" applyNumberFormat="1" applyFont="1" applyFill="1" applyBorder="1" applyAlignment="1"/>
    <xf numFmtId="0" fontId="415" fillId="0" borderId="8" xfId="0" applyFont="1" applyFill="1" applyBorder="1" applyAlignment="1">
      <alignment horizontal="center"/>
    </xf>
    <xf numFmtId="0" fontId="417" fillId="0" borderId="8" xfId="0" applyFont="1" applyFill="1" applyBorder="1" applyAlignment="1">
      <alignment horizontal="center"/>
    </xf>
    <xf numFmtId="0" fontId="419" fillId="0" borderId="8" xfId="0" applyFont="1" applyFill="1" applyBorder="1" applyAlignment="1">
      <alignment horizontal="center"/>
    </xf>
    <xf numFmtId="0" fontId="432" fillId="0" borderId="8" xfId="0" applyFont="1" applyFill="1" applyBorder="1" applyAlignment="1">
      <alignment horizontal="center"/>
    </xf>
    <xf numFmtId="0" fontId="434" fillId="0" borderId="8" xfId="0" applyFont="1" applyFill="1" applyBorder="1" applyAlignment="1">
      <alignment horizontal="center"/>
    </xf>
    <xf numFmtId="0" fontId="424" fillId="0" borderId="8" xfId="0" applyFont="1" applyFill="1" applyBorder="1" applyAlignment="1">
      <alignment horizontal="center"/>
    </xf>
    <xf numFmtId="0" fontId="420" fillId="0" borderId="8" xfId="0" applyFont="1" applyFill="1" applyBorder="1" applyAlignment="1">
      <alignment horizontal="center"/>
    </xf>
    <xf numFmtId="0" fontId="438" fillId="0" borderId="8" xfId="0" applyFont="1" applyFill="1" applyBorder="1" applyAlignment="1">
      <alignment horizontal="center"/>
    </xf>
    <xf numFmtId="0" fontId="182" fillId="0" borderId="8" xfId="0" applyFont="1" applyFill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99" fillId="0" borderId="8" xfId="0" applyFont="1" applyFill="1" applyBorder="1" applyAlignment="1">
      <alignment horizontal="center"/>
    </xf>
    <xf numFmtId="0" fontId="98" fillId="0" borderId="8" xfId="0" applyFont="1" applyFill="1" applyBorder="1" applyAlignment="1">
      <alignment horizontal="center"/>
    </xf>
    <xf numFmtId="0" fontId="218" fillId="0" borderId="8" xfId="0" applyFont="1" applyFill="1" applyBorder="1" applyAlignment="1">
      <alignment horizontal="center"/>
    </xf>
    <xf numFmtId="0" fontId="219" fillId="0" borderId="8" xfId="0" applyFont="1" applyFill="1" applyBorder="1" applyAlignment="1">
      <alignment horizontal="center"/>
    </xf>
    <xf numFmtId="49" fontId="612" fillId="2" borderId="8" xfId="0" applyNumberFormat="1" applyFont="1" applyFill="1" applyBorder="1" applyAlignment="1">
      <alignment horizontal="left" vertical="center"/>
    </xf>
    <xf numFmtId="49" fontId="603" fillId="2" borderId="8" xfId="0" applyNumberFormat="1" applyFont="1" applyFill="1" applyBorder="1" applyAlignment="1">
      <alignment horizontal="left" vertical="center"/>
    </xf>
    <xf numFmtId="49" fontId="608" fillId="2" borderId="8" xfId="0" applyNumberFormat="1" applyFont="1" applyFill="1" applyBorder="1" applyAlignment="1">
      <alignment horizontal="left" vertical="center"/>
    </xf>
    <xf numFmtId="49" fontId="607" fillId="2" borderId="8" xfId="0" applyNumberFormat="1" applyFont="1" applyFill="1" applyBorder="1" applyAlignment="1">
      <alignment horizontal="left" vertical="center"/>
    </xf>
    <xf numFmtId="49" fontId="616" fillId="2" borderId="8" xfId="0" applyNumberFormat="1" applyFont="1" applyFill="1" applyBorder="1" applyAlignment="1">
      <alignment horizontal="left" vertical="center"/>
    </xf>
    <xf numFmtId="49" fontId="613" fillId="2" borderId="8" xfId="0" applyNumberFormat="1" applyFont="1" applyFill="1" applyBorder="1" applyAlignment="1">
      <alignment horizontal="left" vertical="center"/>
    </xf>
    <xf numFmtId="2" fontId="672" fillId="2" borderId="8" xfId="0" applyNumberFormat="1" applyFont="1" applyFill="1" applyBorder="1" applyAlignment="1">
      <alignment horizontal="center" vertical="center"/>
    </xf>
    <xf numFmtId="0" fontId="659" fillId="0" borderId="8" xfId="0" applyNumberFormat="1" applyFont="1" applyBorder="1" applyAlignment="1">
      <alignment horizontal="center" vertical="center"/>
    </xf>
    <xf numFmtId="0" fontId="658" fillId="0" borderId="8" xfId="0" applyNumberFormat="1" applyFont="1" applyBorder="1" applyAlignment="1">
      <alignment horizontal="center" vertical="center"/>
    </xf>
    <xf numFmtId="0" fontId="661" fillId="0" borderId="8" xfId="0" applyNumberFormat="1" applyFont="1" applyBorder="1" applyAlignment="1">
      <alignment horizontal="center" vertical="center"/>
    </xf>
    <xf numFmtId="0" fontId="660" fillId="0" borderId="8" xfId="0" applyNumberFormat="1" applyFont="1" applyBorder="1" applyAlignment="1">
      <alignment horizontal="center" vertical="center"/>
    </xf>
    <xf numFmtId="0" fontId="665" fillId="0" borderId="8" xfId="0" applyNumberFormat="1" applyFont="1" applyBorder="1" applyAlignment="1">
      <alignment horizontal="center" vertical="center"/>
    </xf>
    <xf numFmtId="0" fontId="662" fillId="0" borderId="8" xfId="0" applyNumberFormat="1" applyFont="1" applyBorder="1" applyAlignment="1">
      <alignment horizontal="center" vertical="center"/>
    </xf>
    <xf numFmtId="0" fontId="663" fillId="0" borderId="8" xfId="0" applyNumberFormat="1" applyFont="1" applyBorder="1" applyAlignment="1">
      <alignment horizontal="center" vertical="center"/>
    </xf>
    <xf numFmtId="0" fontId="673" fillId="0" borderId="8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674" fillId="2" borderId="8" xfId="0" applyFont="1" applyFill="1" applyBorder="1" applyAlignment="1">
      <alignment horizontal="center" vertical="center"/>
    </xf>
    <xf numFmtId="2" fontId="673" fillId="2" borderId="8" xfId="0" applyNumberFormat="1" applyFont="1" applyFill="1" applyBorder="1" applyAlignment="1">
      <alignment horizontal="center" vertical="center"/>
    </xf>
    <xf numFmtId="2" fontId="0" fillId="2" borderId="8" xfId="0" applyNumberFormat="1" applyFont="1" applyFill="1" applyBorder="1" applyAlignment="1">
      <alignment horizontal="center" vertical="center"/>
    </xf>
    <xf numFmtId="2" fontId="0" fillId="2" borderId="21" xfId="0" applyNumberFormat="1" applyFont="1" applyFill="1" applyBorder="1" applyAlignment="1">
      <alignment horizontal="center" vertical="center"/>
    </xf>
    <xf numFmtId="2" fontId="588" fillId="0" borderId="8" xfId="0" applyNumberFormat="1" applyFont="1" applyBorder="1" applyAlignment="1">
      <alignment horizontal="center" vertical="center"/>
    </xf>
    <xf numFmtId="2" fontId="0" fillId="0" borderId="8" xfId="0" applyNumberFormat="1" applyFont="1" applyBorder="1" applyAlignment="1"/>
    <xf numFmtId="49" fontId="138" fillId="2" borderId="8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/>
    <xf numFmtId="0" fontId="128" fillId="0" borderId="8" xfId="0" applyFont="1" applyFill="1" applyBorder="1" applyAlignment="1">
      <alignment horizontal="center" vertical="center"/>
    </xf>
    <xf numFmtId="2" fontId="170" fillId="0" borderId="8" xfId="0" applyNumberFormat="1" applyFont="1" applyFill="1" applyBorder="1" applyAlignment="1">
      <alignment horizontal="center" vertical="center"/>
    </xf>
    <xf numFmtId="0" fontId="0" fillId="0" borderId="21" xfId="0" applyFont="1" applyFill="1" applyBorder="1" applyAlignment="1"/>
    <xf numFmtId="0" fontId="0" fillId="0" borderId="0" xfId="0" applyNumberFormat="1" applyFont="1" applyFill="1" applyAlignment="1"/>
    <xf numFmtId="1" fontId="658" fillId="2" borderId="8" xfId="0" applyNumberFormat="1" applyFont="1" applyFill="1" applyBorder="1" applyAlignment="1">
      <alignment horizontal="left" vertical="center"/>
    </xf>
    <xf numFmtId="0" fontId="0" fillId="0" borderId="8" xfId="0" applyFont="1" applyBorder="1" applyAlignment="1"/>
    <xf numFmtId="0" fontId="481" fillId="2" borderId="6" xfId="0" applyFont="1" applyFill="1" applyBorder="1" applyAlignment="1">
      <alignment horizontal="center" vertical="center"/>
    </xf>
    <xf numFmtId="0" fontId="192" fillId="2" borderId="6" xfId="0" applyFont="1" applyFill="1" applyBorder="1" applyAlignment="1">
      <alignment horizontal="center" vertical="center"/>
    </xf>
    <xf numFmtId="0" fontId="119" fillId="2" borderId="8" xfId="0" applyFont="1" applyFill="1" applyBorder="1" applyAlignment="1">
      <alignment horizontal="center" vertical="center"/>
    </xf>
    <xf numFmtId="0" fontId="119" fillId="2" borderId="6" xfId="0" applyFont="1" applyFill="1" applyBorder="1" applyAlignment="1">
      <alignment horizontal="center" vertical="center"/>
    </xf>
    <xf numFmtId="0" fontId="478" fillId="4" borderId="168" xfId="0" applyFont="1" applyFill="1" applyBorder="1" applyAlignment="1">
      <alignment horizontal="center" vertical="center" wrapText="1"/>
    </xf>
    <xf numFmtId="0" fontId="128" fillId="4" borderId="169" xfId="0" applyFont="1" applyFill="1" applyBorder="1" applyAlignment="1">
      <alignment horizontal="center" vertical="center"/>
    </xf>
    <xf numFmtId="0" fontId="128" fillId="4" borderId="170" xfId="0" applyFont="1" applyFill="1" applyBorder="1" applyAlignment="1">
      <alignment horizontal="center" vertical="center"/>
    </xf>
    <xf numFmtId="49" fontId="14" fillId="2" borderId="172" xfId="0" applyNumberFormat="1" applyFont="1" applyFill="1" applyBorder="1" applyAlignment="1">
      <alignment horizontal="center" vertical="center"/>
    </xf>
    <xf numFmtId="49" fontId="106" fillId="2" borderId="172" xfId="0" applyNumberFormat="1" applyFont="1" applyFill="1" applyBorder="1" applyAlignment="1">
      <alignment horizontal="center" vertical="center"/>
    </xf>
    <xf numFmtId="0" fontId="392" fillId="2" borderId="108" xfId="0" applyFont="1" applyFill="1" applyBorder="1" applyAlignment="1">
      <alignment horizontal="center" vertical="center"/>
    </xf>
    <xf numFmtId="0" fontId="14" fillId="2" borderId="127" xfId="0" applyFont="1" applyFill="1" applyBorder="1" applyAlignment="1">
      <alignment horizontal="center" vertical="center"/>
    </xf>
    <xf numFmtId="0" fontId="118" fillId="6" borderId="132" xfId="0" applyFont="1" applyFill="1" applyBorder="1" applyAlignment="1">
      <alignment horizontal="center" vertical="center"/>
    </xf>
    <xf numFmtId="2" fontId="154" fillId="6" borderId="133" xfId="0" applyNumberFormat="1" applyFont="1" applyFill="1" applyBorder="1" applyAlignment="1">
      <alignment horizontal="center" vertical="center"/>
    </xf>
    <xf numFmtId="0" fontId="0" fillId="0" borderId="8" xfId="0" applyFont="1" applyBorder="1" applyAlignment="1"/>
    <xf numFmtId="49" fontId="357" fillId="2" borderId="8" xfId="0" applyNumberFormat="1" applyFont="1" applyFill="1" applyBorder="1" applyAlignment="1">
      <alignment vertical="center" wrapText="1"/>
    </xf>
    <xf numFmtId="0" fontId="357" fillId="2" borderId="8" xfId="0" applyFont="1" applyFill="1" applyBorder="1" applyAlignment="1">
      <alignment vertical="center" wrapText="1"/>
    </xf>
    <xf numFmtId="0" fontId="588" fillId="2" borderId="137" xfId="0" applyFont="1" applyFill="1" applyBorder="1" applyAlignment="1">
      <alignment horizontal="center" vertical="center"/>
    </xf>
    <xf numFmtId="0" fontId="588" fillId="2" borderId="98" xfId="0" applyFont="1" applyFill="1" applyBorder="1" applyAlignment="1">
      <alignment horizontal="center" vertical="center"/>
    </xf>
    <xf numFmtId="0" fontId="588" fillId="0" borderId="98" xfId="0" applyFont="1" applyBorder="1" applyAlignment="1">
      <alignment horizontal="center" vertical="center"/>
    </xf>
    <xf numFmtId="0" fontId="164" fillId="2" borderId="8" xfId="0" applyFont="1" applyFill="1" applyBorder="1" applyAlignment="1">
      <alignment horizontal="center" vertical="center"/>
    </xf>
    <xf numFmtId="0" fontId="479" fillId="2" borderId="8" xfId="0" applyFont="1" applyFill="1" applyBorder="1" applyAlignment="1">
      <alignment horizontal="center" vertical="center"/>
    </xf>
    <xf numFmtId="0" fontId="115" fillId="2" borderId="178" xfId="0" applyFont="1" applyFill="1" applyBorder="1" applyAlignment="1">
      <alignment horizontal="center" vertical="center"/>
    </xf>
    <xf numFmtId="49" fontId="224" fillId="4" borderId="8" xfId="0" applyNumberFormat="1" applyFont="1" applyFill="1" applyBorder="1" applyAlignment="1">
      <alignment horizontal="center" vertical="center"/>
    </xf>
    <xf numFmtId="0" fontId="164" fillId="2" borderId="171" xfId="0" applyFont="1" applyFill="1" applyBorder="1" applyAlignment="1">
      <alignment horizontal="center" vertical="center"/>
    </xf>
    <xf numFmtId="0" fontId="37" fillId="2" borderId="171" xfId="0" applyFont="1" applyFill="1" applyBorder="1" applyAlignment="1">
      <alignment horizontal="center" vertical="center"/>
    </xf>
    <xf numFmtId="2" fontId="245" fillId="2" borderId="171" xfId="0" applyNumberFormat="1" applyFont="1" applyFill="1" applyBorder="1" applyAlignment="1">
      <alignment horizontal="center" vertical="center"/>
    </xf>
    <xf numFmtId="0" fontId="280" fillId="2" borderId="171" xfId="0" applyFont="1" applyFill="1" applyBorder="1" applyAlignment="1">
      <alignment horizontal="center" vertical="center"/>
    </xf>
    <xf numFmtId="0" fontId="679" fillId="2" borderId="171" xfId="0" applyFont="1" applyFill="1" applyBorder="1" applyAlignment="1">
      <alignment horizontal="center" vertical="center"/>
    </xf>
    <xf numFmtId="0" fontId="110" fillId="0" borderId="53" xfId="0" applyFont="1" applyBorder="1" applyAlignment="1"/>
    <xf numFmtId="0" fontId="164" fillId="2" borderId="53" xfId="0" applyFont="1" applyFill="1" applyBorder="1" applyAlignment="1">
      <alignment horizontal="center" vertical="center"/>
    </xf>
    <xf numFmtId="0" fontId="355" fillId="2" borderId="160" xfId="0" applyFont="1" applyFill="1" applyBorder="1" applyAlignment="1">
      <alignment horizontal="center" vertical="center"/>
    </xf>
    <xf numFmtId="49" fontId="227" fillId="4" borderId="164" xfId="0" applyNumberFormat="1" applyFont="1" applyFill="1" applyBorder="1" applyAlignment="1">
      <alignment horizontal="center" vertical="center"/>
    </xf>
    <xf numFmtId="0" fontId="193" fillId="2" borderId="164" xfId="0" applyFont="1" applyFill="1" applyBorder="1" applyAlignment="1">
      <alignment horizontal="center" vertical="center"/>
    </xf>
    <xf numFmtId="0" fontId="0" fillId="0" borderId="164" xfId="0" applyFont="1" applyBorder="1" applyAlignment="1"/>
    <xf numFmtId="0" fontId="355" fillId="0" borderId="160" xfId="0" applyFont="1" applyBorder="1" applyAlignment="1">
      <alignment horizontal="center"/>
    </xf>
    <xf numFmtId="0" fontId="0" fillId="2" borderId="165" xfId="0" applyFont="1" applyFill="1" applyBorder="1" applyAlignment="1"/>
    <xf numFmtId="0" fontId="0" fillId="2" borderId="166" xfId="0" applyFont="1" applyFill="1" applyBorder="1" applyAlignment="1"/>
    <xf numFmtId="2" fontId="245" fillId="0" borderId="180" xfId="0" applyNumberFormat="1" applyFont="1" applyBorder="1" applyAlignment="1">
      <alignment horizontal="center"/>
    </xf>
    <xf numFmtId="49" fontId="175" fillId="0" borderId="181" xfId="0" applyNumberFormat="1" applyFont="1" applyBorder="1" applyAlignment="1">
      <alignment horizontal="center"/>
    </xf>
    <xf numFmtId="2" fontId="245" fillId="0" borderId="181" xfId="0" applyNumberFormat="1" applyFont="1" applyBorder="1" applyAlignment="1">
      <alignment horizontal="center"/>
    </xf>
    <xf numFmtId="0" fontId="115" fillId="0" borderId="182" xfId="0" applyFont="1" applyBorder="1" applyAlignment="1">
      <alignment horizontal="center"/>
    </xf>
    <xf numFmtId="0" fontId="0" fillId="0" borderId="166" xfId="0" applyFont="1" applyBorder="1" applyAlignment="1"/>
    <xf numFmtId="0" fontId="0" fillId="0" borderId="167" xfId="0" applyFont="1" applyBorder="1" applyAlignment="1"/>
    <xf numFmtId="0" fontId="193" fillId="0" borderId="98" xfId="0" applyFont="1" applyBorder="1" applyAlignment="1">
      <alignment horizontal="center" vertical="center"/>
    </xf>
    <xf numFmtId="0" fontId="193" fillId="0" borderId="181" xfId="0" applyFont="1" applyBorder="1" applyAlignment="1">
      <alignment horizontal="center" vertical="center"/>
    </xf>
    <xf numFmtId="0" fontId="64" fillId="0" borderId="8" xfId="0" applyFont="1" applyBorder="1" applyAlignment="1"/>
    <xf numFmtId="0" fontId="355" fillId="2" borderId="8" xfId="0" applyFont="1" applyFill="1" applyBorder="1" applyAlignment="1">
      <alignment horizontal="center" vertical="center"/>
    </xf>
    <xf numFmtId="0" fontId="64" fillId="2" borderId="8" xfId="0" applyFont="1" applyFill="1" applyBorder="1" applyAlignment="1">
      <alignment horizontal="center" vertical="center"/>
    </xf>
    <xf numFmtId="0" fontId="682" fillId="2" borderId="160" xfId="0" applyNumberFormat="1" applyFont="1" applyFill="1" applyBorder="1" applyAlignment="1">
      <alignment horizontal="center" vertical="center"/>
    </xf>
    <xf numFmtId="0" fontId="377" fillId="2" borderId="160" xfId="0" applyNumberFormat="1" applyFont="1" applyFill="1" applyBorder="1" applyAlignment="1">
      <alignment horizontal="center" vertical="center"/>
    </xf>
    <xf numFmtId="49" fontId="141" fillId="2" borderId="166" xfId="0" applyNumberFormat="1" applyFont="1" applyFill="1" applyBorder="1" applyAlignment="1">
      <alignment horizontal="left" vertical="center"/>
    </xf>
    <xf numFmtId="0" fontId="604" fillId="2" borderId="8" xfId="0" applyFont="1" applyFill="1" applyBorder="1" applyAlignment="1">
      <alignment horizontal="center" vertical="center"/>
    </xf>
    <xf numFmtId="0" fontId="589" fillId="2" borderId="8" xfId="0" applyFont="1" applyFill="1" applyBorder="1" applyAlignment="1">
      <alignment horizontal="center" vertical="center"/>
    </xf>
    <xf numFmtId="0" fontId="588" fillId="2" borderId="8" xfId="0" applyFont="1" applyFill="1" applyBorder="1" applyAlignment="1">
      <alignment horizontal="center" vertical="center"/>
    </xf>
    <xf numFmtId="0" fontId="592" fillId="2" borderId="8" xfId="0" applyFont="1" applyFill="1" applyBorder="1" applyAlignment="1">
      <alignment horizontal="center" vertical="center"/>
    </xf>
    <xf numFmtId="0" fontId="591" fillId="2" borderId="8" xfId="0" applyFont="1" applyFill="1" applyBorder="1" applyAlignment="1">
      <alignment horizontal="center" vertical="center"/>
    </xf>
    <xf numFmtId="0" fontId="163" fillId="2" borderId="8" xfId="0" applyFont="1" applyFill="1" applyBorder="1" applyAlignment="1">
      <alignment horizontal="center" vertical="center"/>
    </xf>
    <xf numFmtId="0" fontId="593" fillId="2" borderId="8" xfId="0" applyFont="1" applyFill="1" applyBorder="1" applyAlignment="1">
      <alignment horizontal="center" vertical="center"/>
    </xf>
    <xf numFmtId="0" fontId="630" fillId="2" borderId="8" xfId="0" applyFont="1" applyFill="1" applyBorder="1" applyAlignment="1">
      <alignment horizontal="center" vertical="center"/>
    </xf>
    <xf numFmtId="0" fontId="591" fillId="0" borderId="0" xfId="0" applyFont="1" applyAlignment="1">
      <alignment horizontal="center" vertical="center"/>
    </xf>
    <xf numFmtId="186" fontId="599" fillId="10" borderId="0" xfId="0" applyNumberFormat="1" applyFont="1" applyFill="1" applyAlignment="1">
      <alignment horizontal="center" vertical="center"/>
    </xf>
    <xf numFmtId="186" fontId="601" fillId="10" borderId="0" xfId="0" applyNumberFormat="1" applyFont="1" applyFill="1" applyAlignment="1">
      <alignment horizontal="center" vertical="center"/>
    </xf>
    <xf numFmtId="186" fontId="602" fillId="10" borderId="0" xfId="0" applyNumberFormat="1" applyFont="1" applyFill="1" applyAlignment="1">
      <alignment horizontal="center" vertical="center"/>
    </xf>
    <xf numFmtId="179" fontId="604" fillId="2" borderId="8" xfId="0" applyNumberFormat="1" applyFont="1" applyFill="1" applyBorder="1" applyAlignment="1">
      <alignment horizontal="center" vertical="center"/>
    </xf>
    <xf numFmtId="185" fontId="596" fillId="10" borderId="0" xfId="0" applyNumberFormat="1" applyFont="1" applyFill="1" applyAlignment="1">
      <alignment horizontal="center" vertical="center"/>
    </xf>
    <xf numFmtId="185" fontId="597" fillId="10" borderId="0" xfId="0" applyNumberFormat="1" applyFont="1" applyFill="1" applyAlignment="1">
      <alignment horizontal="center" vertical="center"/>
    </xf>
    <xf numFmtId="187" fontId="643" fillId="10" borderId="0" xfId="0" applyNumberFormat="1" applyFont="1" applyFill="1" applyAlignment="1">
      <alignment horizontal="center" vertical="center"/>
    </xf>
    <xf numFmtId="185" fontId="621" fillId="10" borderId="0" xfId="0" applyNumberFormat="1" applyFont="1" applyFill="1" applyAlignment="1">
      <alignment horizontal="center" vertical="center"/>
    </xf>
    <xf numFmtId="185" fontId="589" fillId="10" borderId="0" xfId="0" applyNumberFormat="1" applyFont="1" applyFill="1" applyAlignment="1">
      <alignment horizontal="center" vertical="center"/>
    </xf>
    <xf numFmtId="188" fontId="630" fillId="10" borderId="0" xfId="0" applyNumberFormat="1" applyFont="1" applyFill="1" applyAlignment="1">
      <alignment horizontal="center" vertical="center"/>
    </xf>
    <xf numFmtId="179" fontId="630" fillId="10" borderId="8" xfId="0" applyNumberFormat="1" applyFont="1" applyFill="1" applyBorder="1" applyAlignment="1">
      <alignment horizontal="center" vertical="center"/>
    </xf>
    <xf numFmtId="185" fontId="604" fillId="10" borderId="0" xfId="0" applyNumberFormat="1" applyFont="1" applyFill="1" applyAlignment="1">
      <alignment horizontal="center" vertical="center"/>
    </xf>
    <xf numFmtId="185" fontId="591" fillId="10" borderId="0" xfId="0" applyNumberFormat="1" applyFont="1" applyFill="1" applyAlignment="1">
      <alignment horizontal="center" vertical="center"/>
    </xf>
    <xf numFmtId="168" fontId="592" fillId="10" borderId="0" xfId="0" applyNumberFormat="1" applyFont="1" applyFill="1" applyAlignment="1">
      <alignment horizontal="center" vertical="center"/>
    </xf>
    <xf numFmtId="168" fontId="163" fillId="10" borderId="0" xfId="0" applyNumberFormat="1" applyFont="1" applyFill="1" applyAlignment="1">
      <alignment horizontal="center" vertical="center"/>
    </xf>
    <xf numFmtId="185" fontId="163" fillId="10" borderId="0" xfId="0" applyNumberFormat="1" applyFont="1" applyFill="1" applyAlignment="1">
      <alignment horizontal="center" vertical="center"/>
    </xf>
    <xf numFmtId="168" fontId="595" fillId="10" borderId="0" xfId="0" applyNumberFormat="1" applyFont="1" applyFill="1" applyAlignment="1">
      <alignment horizontal="center" vertical="center"/>
    </xf>
    <xf numFmtId="49" fontId="360" fillId="2" borderId="6" xfId="0" applyNumberFormat="1" applyFont="1" applyFill="1" applyBorder="1" applyAlignment="1">
      <alignment horizontal="center" vertical="center"/>
    </xf>
    <xf numFmtId="179" fontId="589" fillId="2" borderId="8" xfId="0" applyNumberFormat="1" applyFont="1" applyFill="1" applyBorder="1" applyAlignment="1">
      <alignment horizontal="center" vertical="center"/>
    </xf>
    <xf numFmtId="179" fontId="630" fillId="2" borderId="8" xfId="0" applyNumberFormat="1" applyFont="1" applyFill="1" applyBorder="1" applyAlignment="1">
      <alignment horizontal="center" vertical="center"/>
    </xf>
    <xf numFmtId="179" fontId="591" fillId="2" borderId="8" xfId="0" applyNumberFormat="1" applyFont="1" applyFill="1" applyBorder="1" applyAlignment="1">
      <alignment horizontal="center" vertical="center"/>
    </xf>
    <xf numFmtId="179" fontId="592" fillId="2" borderId="8" xfId="0" applyNumberFormat="1" applyFont="1" applyFill="1" applyBorder="1" applyAlignment="1">
      <alignment horizontal="center" vertical="center"/>
    </xf>
    <xf numFmtId="179" fontId="593" fillId="2" borderId="8" xfId="0" applyNumberFormat="1" applyFont="1" applyFill="1" applyBorder="1" applyAlignment="1">
      <alignment horizontal="center" vertical="center"/>
    </xf>
    <xf numFmtId="179" fontId="622" fillId="2" borderId="8" xfId="0" applyNumberFormat="1" applyFont="1" applyFill="1" applyBorder="1" applyAlignment="1">
      <alignment horizontal="center" vertical="center"/>
    </xf>
    <xf numFmtId="179" fontId="595" fillId="2" borderId="8" xfId="0" applyNumberFormat="1" applyFont="1" applyFill="1" applyBorder="1" applyAlignment="1">
      <alignment horizontal="center" vertical="center"/>
    </xf>
    <xf numFmtId="186" fontId="604" fillId="10" borderId="0" xfId="0" applyNumberFormat="1" applyFont="1" applyFill="1" applyAlignment="1">
      <alignment horizontal="center" vertical="center"/>
    </xf>
    <xf numFmtId="185" fontId="592" fillId="10" borderId="0" xfId="0" applyNumberFormat="1" applyFont="1" applyFill="1" applyAlignment="1">
      <alignment horizontal="center" vertical="center"/>
    </xf>
    <xf numFmtId="0" fontId="593" fillId="0" borderId="0" xfId="0" applyNumberFormat="1" applyFont="1" applyAlignment="1">
      <alignment horizontal="center" vertical="center"/>
    </xf>
    <xf numFmtId="49" fontId="150" fillId="12" borderId="8" xfId="0" applyNumberFormat="1" applyFont="1" applyFill="1" applyBorder="1" applyAlignment="1">
      <alignment horizontal="center" vertical="center"/>
    </xf>
    <xf numFmtId="0" fontId="150" fillId="12" borderId="0" xfId="0" applyNumberFormat="1" applyFont="1" applyFill="1" applyAlignment="1">
      <alignment horizontal="center" vertical="center"/>
    </xf>
    <xf numFmtId="0" fontId="150" fillId="12" borderId="8" xfId="0" applyFont="1" applyFill="1" applyBorder="1" applyAlignment="1">
      <alignment horizontal="center" vertical="center"/>
    </xf>
    <xf numFmtId="184" fontId="193" fillId="2" borderId="41" xfId="0" applyNumberFormat="1" applyFont="1" applyFill="1" applyBorder="1" applyAlignment="1">
      <alignment horizontal="center" wrapText="1"/>
    </xf>
    <xf numFmtId="184" fontId="89" fillId="2" borderId="8" xfId="0" applyNumberFormat="1" applyFont="1" applyFill="1" applyBorder="1" applyAlignment="1">
      <alignment horizontal="center" vertical="center"/>
    </xf>
    <xf numFmtId="49" fontId="177" fillId="2" borderId="146" xfId="0" applyNumberFormat="1" applyFont="1" applyFill="1" applyBorder="1" applyAlignment="1">
      <alignment horizontal="center" vertical="center"/>
    </xf>
    <xf numFmtId="49" fontId="191" fillId="2" borderId="36" xfId="0" applyNumberFormat="1" applyFont="1" applyFill="1" applyBorder="1" applyAlignment="1">
      <alignment horizontal="center" vertical="center"/>
    </xf>
    <xf numFmtId="49" fontId="177" fillId="2" borderId="36" xfId="0" applyNumberFormat="1" applyFont="1" applyFill="1" applyBorder="1" applyAlignment="1">
      <alignment horizontal="center" vertical="center"/>
    </xf>
    <xf numFmtId="49" fontId="177" fillId="2" borderId="32" xfId="0" applyNumberFormat="1" applyFont="1" applyFill="1" applyBorder="1" applyAlignment="1">
      <alignment horizontal="center" vertical="center"/>
    </xf>
    <xf numFmtId="49" fontId="177" fillId="2" borderId="158" xfId="0" applyNumberFormat="1" applyFont="1" applyFill="1" applyBorder="1" applyAlignment="1">
      <alignment horizontal="center" vertical="center"/>
    </xf>
    <xf numFmtId="49" fontId="141" fillId="2" borderId="36" xfId="0" applyNumberFormat="1" applyFont="1" applyFill="1" applyBorder="1" applyAlignment="1">
      <alignment horizontal="center" vertical="center"/>
    </xf>
    <xf numFmtId="49" fontId="14" fillId="2" borderId="36" xfId="0" applyNumberFormat="1" applyFont="1" applyFill="1" applyBorder="1" applyAlignment="1">
      <alignment horizontal="center" vertical="center"/>
    </xf>
    <xf numFmtId="49" fontId="28" fillId="2" borderId="32" xfId="0" applyNumberFormat="1" applyFont="1" applyFill="1" applyBorder="1" applyAlignment="1">
      <alignment horizontal="center" vertical="center"/>
    </xf>
    <xf numFmtId="49" fontId="28" fillId="2" borderId="36" xfId="0" applyNumberFormat="1" applyFont="1" applyFill="1" applyBorder="1" applyAlignment="1">
      <alignment horizontal="center" vertical="center"/>
    </xf>
    <xf numFmtId="49" fontId="99" fillId="2" borderId="36" xfId="0" applyNumberFormat="1" applyFont="1" applyFill="1" applyBorder="1" applyAlignment="1">
      <alignment horizontal="center" vertical="center"/>
    </xf>
    <xf numFmtId="49" fontId="199" fillId="2" borderId="36" xfId="0" applyNumberFormat="1" applyFont="1" applyFill="1" applyBorder="1" applyAlignment="1">
      <alignment horizontal="center" vertical="center"/>
    </xf>
    <xf numFmtId="49" fontId="205" fillId="2" borderId="32" xfId="0" applyNumberFormat="1" applyFont="1" applyFill="1" applyBorder="1" applyAlignment="1">
      <alignment horizontal="center" vertical="center"/>
    </xf>
    <xf numFmtId="49" fontId="98" fillId="2" borderId="36" xfId="0" applyNumberFormat="1" applyFont="1" applyFill="1" applyBorder="1" applyAlignment="1">
      <alignment horizontal="center" vertical="center"/>
    </xf>
    <xf numFmtId="49" fontId="99" fillId="2" borderId="32" xfId="0" applyNumberFormat="1" applyFont="1" applyFill="1" applyBorder="1" applyAlignment="1">
      <alignment horizontal="center" vertical="center"/>
    </xf>
    <xf numFmtId="49" fontId="105" fillId="2" borderId="36" xfId="0" applyNumberFormat="1" applyFont="1" applyFill="1" applyBorder="1" applyAlignment="1">
      <alignment horizontal="center" vertical="center"/>
    </xf>
    <xf numFmtId="49" fontId="105" fillId="2" borderId="158" xfId="0" applyNumberFormat="1" applyFont="1" applyFill="1" applyBorder="1" applyAlignment="1">
      <alignment horizontal="center" vertical="center"/>
    </xf>
    <xf numFmtId="49" fontId="98" fillId="2" borderId="32" xfId="0" applyNumberFormat="1" applyFont="1" applyFill="1" applyBorder="1" applyAlignment="1">
      <alignment horizontal="center" vertical="center"/>
    </xf>
    <xf numFmtId="49" fontId="106" fillId="2" borderId="36" xfId="0" applyNumberFormat="1" applyFont="1" applyFill="1" applyBorder="1" applyAlignment="1">
      <alignment horizontal="center" vertical="center"/>
    </xf>
    <xf numFmtId="49" fontId="182" fillId="2" borderId="32" xfId="0" applyNumberFormat="1" applyFont="1" applyFill="1" applyBorder="1" applyAlignment="1">
      <alignment horizontal="center" vertical="center"/>
    </xf>
    <xf numFmtId="49" fontId="14" fillId="2" borderId="32" xfId="0" applyNumberFormat="1" applyFont="1" applyFill="1" applyBorder="1" applyAlignment="1">
      <alignment horizontal="center" vertical="center"/>
    </xf>
    <xf numFmtId="49" fontId="106" fillId="2" borderId="32" xfId="0" applyNumberFormat="1" applyFont="1" applyFill="1" applyBorder="1" applyAlignment="1">
      <alignment horizontal="center" vertical="center"/>
    </xf>
    <xf numFmtId="49" fontId="133" fillId="2" borderId="148" xfId="0" applyNumberFormat="1" applyFont="1" applyFill="1" applyBorder="1" applyAlignment="1">
      <alignment horizontal="center" vertical="center"/>
    </xf>
    <xf numFmtId="179" fontId="29" fillId="2" borderId="8" xfId="0" applyNumberFormat="1" applyFont="1" applyFill="1" applyBorder="1" applyAlignment="1">
      <alignment horizontal="center" vertical="center"/>
    </xf>
    <xf numFmtId="49" fontId="621" fillId="2" borderId="8" xfId="0" applyNumberFormat="1" applyFont="1" applyFill="1" applyBorder="1" applyAlignment="1">
      <alignment horizontal="center" vertical="center"/>
    </xf>
    <xf numFmtId="2" fontId="621" fillId="2" borderId="8" xfId="0" applyNumberFormat="1" applyFont="1" applyFill="1" applyBorder="1" applyAlignment="1">
      <alignment horizontal="center" vertical="center"/>
    </xf>
    <xf numFmtId="2" fontId="685" fillId="2" borderId="8" xfId="0" applyNumberFormat="1" applyFont="1" applyFill="1" applyBorder="1" applyAlignment="1">
      <alignment horizontal="center" vertical="center"/>
    </xf>
    <xf numFmtId="179" fontId="339" fillId="2" borderId="69" xfId="0" applyNumberFormat="1" applyFont="1" applyFill="1" applyBorder="1" applyAlignment="1">
      <alignment horizontal="center" vertical="center"/>
    </xf>
    <xf numFmtId="203" fontId="212" fillId="2" borderId="8" xfId="0" applyNumberFormat="1" applyFont="1" applyFill="1" applyBorder="1" applyAlignment="1">
      <alignment horizontal="center" vertical="center"/>
    </xf>
    <xf numFmtId="203" fontId="115" fillId="2" borderId="8" xfId="0" applyNumberFormat="1" applyFont="1" applyFill="1" applyBorder="1" applyAlignment="1">
      <alignment horizontal="center" vertical="center"/>
    </xf>
    <xf numFmtId="203" fontId="341" fillId="2" borderId="8" xfId="0" applyNumberFormat="1" applyFont="1" applyFill="1" applyBorder="1" applyAlignment="1">
      <alignment horizontal="center" vertical="center"/>
    </xf>
    <xf numFmtId="203" fontId="276" fillId="2" borderId="8" xfId="0" applyNumberFormat="1" applyFont="1" applyFill="1" applyBorder="1" applyAlignment="1">
      <alignment horizontal="center" vertical="center"/>
    </xf>
    <xf numFmtId="2" fontId="339" fillId="10" borderId="8" xfId="0" applyNumberFormat="1" applyFont="1" applyFill="1" applyBorder="1" applyAlignment="1">
      <alignment horizontal="center" vertical="center"/>
    </xf>
    <xf numFmtId="0" fontId="339" fillId="10" borderId="75" xfId="0" applyFont="1" applyFill="1" applyBorder="1" applyAlignment="1">
      <alignment horizontal="center" vertical="center"/>
    </xf>
    <xf numFmtId="49" fontId="216" fillId="2" borderId="10" xfId="0" applyNumberFormat="1" applyFont="1" applyFill="1" applyBorder="1" applyAlignment="1">
      <alignment horizontal="center" vertical="center"/>
    </xf>
    <xf numFmtId="0" fontId="276" fillId="2" borderId="12" xfId="0" applyNumberFormat="1" applyFont="1" applyFill="1" applyBorder="1" applyAlignment="1">
      <alignment horizontal="center" vertical="center"/>
    </xf>
    <xf numFmtId="0" fontId="377" fillId="2" borderId="9" xfId="0" applyNumberFormat="1" applyFont="1" applyFill="1" applyBorder="1" applyAlignment="1">
      <alignment horizontal="center" vertical="center"/>
    </xf>
    <xf numFmtId="194" fontId="176" fillId="2" borderId="8" xfId="0" applyNumberFormat="1" applyFont="1" applyFill="1" applyBorder="1" applyAlignment="1">
      <alignment horizontal="center" vertical="center"/>
    </xf>
    <xf numFmtId="191" fontId="150" fillId="0" borderId="8" xfId="9" applyNumberFormat="1" applyFont="1" applyBorder="1" applyAlignment="1">
      <alignment horizontal="center" vertical="center"/>
    </xf>
    <xf numFmtId="204" fontId="595" fillId="0" borderId="8" xfId="9" applyNumberFormat="1" applyFont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257" fillId="2" borderId="8" xfId="0" applyNumberFormat="1" applyFont="1" applyFill="1" applyBorder="1" applyAlignment="1">
      <alignment horizontal="center" vertical="center"/>
    </xf>
    <xf numFmtId="0" fontId="257" fillId="2" borderId="8" xfId="0" applyFont="1" applyFill="1" applyBorder="1" applyAlignment="1">
      <alignment horizontal="center" vertical="center"/>
    </xf>
    <xf numFmtId="205" fontId="110" fillId="2" borderId="8" xfId="0" applyNumberFormat="1" applyFont="1" applyFill="1" applyBorder="1" applyAlignment="1">
      <alignment horizontal="center" vertical="center"/>
    </xf>
    <xf numFmtId="208" fontId="150" fillId="2" borderId="8" xfId="0" applyNumberFormat="1" applyFont="1" applyFill="1" applyBorder="1" applyAlignment="1">
      <alignment horizontal="center" vertical="center"/>
    </xf>
    <xf numFmtId="196" fontId="110" fillId="2" borderId="8" xfId="0" applyNumberFormat="1" applyFont="1" applyFill="1" applyBorder="1" applyAlignment="1">
      <alignment horizontal="center" vertical="center"/>
    </xf>
    <xf numFmtId="197" fontId="294" fillId="2" borderId="8" xfId="0" applyNumberFormat="1" applyFont="1" applyFill="1" applyBorder="1" applyAlignment="1">
      <alignment horizontal="center" vertical="center"/>
    </xf>
    <xf numFmtId="195" fontId="29" fillId="2" borderId="8" xfId="0" applyNumberFormat="1" applyFont="1" applyFill="1" applyBorder="1" applyAlignment="1">
      <alignment horizontal="center" vertical="center"/>
    </xf>
    <xf numFmtId="205" fontId="245" fillId="2" borderId="8" xfId="0" applyNumberFormat="1" applyFont="1" applyFill="1" applyBorder="1" applyAlignment="1">
      <alignment horizontal="center" vertical="center"/>
    </xf>
    <xf numFmtId="208" fontId="150" fillId="2" borderId="11" xfId="0" applyNumberFormat="1" applyFont="1" applyFill="1" applyBorder="1" applyAlignment="1">
      <alignment horizontal="center" vertical="center"/>
    </xf>
    <xf numFmtId="198" fontId="163" fillId="2" borderId="8" xfId="0" applyNumberFormat="1" applyFont="1" applyFill="1" applyBorder="1" applyAlignment="1">
      <alignment horizontal="center" vertical="center"/>
    </xf>
    <xf numFmtId="186" fontId="169" fillId="2" borderId="8" xfId="0" applyNumberFormat="1" applyFont="1" applyFill="1" applyBorder="1" applyAlignment="1">
      <alignment horizontal="center" vertical="center"/>
    </xf>
    <xf numFmtId="169" fontId="155" fillId="2" borderId="8" xfId="0" applyNumberFormat="1" applyFont="1" applyFill="1" applyBorder="1" applyAlignment="1">
      <alignment horizontal="center" vertical="center"/>
    </xf>
    <xf numFmtId="169" fontId="163" fillId="2" borderId="8" xfId="0" applyNumberFormat="1" applyFont="1" applyFill="1" applyBorder="1" applyAlignment="1">
      <alignment horizontal="center" vertical="center"/>
    </xf>
    <xf numFmtId="168" fontId="150" fillId="2" borderId="8" xfId="0" applyNumberFormat="1" applyFont="1" applyFill="1" applyBorder="1" applyAlignment="1">
      <alignment horizontal="center" vertical="center"/>
    </xf>
    <xf numFmtId="168" fontId="176" fillId="2" borderId="8" xfId="0" applyNumberFormat="1" applyFont="1" applyFill="1" applyBorder="1" applyAlignment="1">
      <alignment horizontal="center" vertical="center"/>
    </xf>
    <xf numFmtId="185" fontId="37" fillId="2" borderId="8" xfId="0" applyNumberFormat="1" applyFont="1" applyFill="1" applyBorder="1" applyAlignment="1">
      <alignment horizontal="center" vertical="center"/>
    </xf>
    <xf numFmtId="185" fontId="687" fillId="0" borderId="0" xfId="0" applyNumberFormat="1" applyFont="1" applyAlignment="1">
      <alignment horizontal="center" vertical="center"/>
    </xf>
    <xf numFmtId="185" fontId="609" fillId="0" borderId="0" xfId="0" applyNumberFormat="1" applyFont="1" applyAlignment="1">
      <alignment horizontal="center" vertical="center"/>
    </xf>
    <xf numFmtId="185" fontId="610" fillId="0" borderId="0" xfId="0" applyNumberFormat="1" applyFont="1" applyAlignment="1">
      <alignment horizontal="center" vertical="center"/>
    </xf>
    <xf numFmtId="185" fontId="646" fillId="0" borderId="0" xfId="0" applyNumberFormat="1" applyFont="1" applyAlignment="1">
      <alignment horizontal="center" vertical="center"/>
    </xf>
    <xf numFmtId="185" fontId="682" fillId="0" borderId="0" xfId="0" applyNumberFormat="1" applyFont="1" applyAlignment="1">
      <alignment horizontal="center" vertical="center"/>
    </xf>
    <xf numFmtId="0" fontId="624" fillId="0" borderId="0" xfId="0" applyFont="1" applyAlignment="1">
      <alignment horizontal="center" vertical="center"/>
    </xf>
    <xf numFmtId="0" fontId="651" fillId="0" borderId="0" xfId="0" applyFont="1" applyAlignment="1">
      <alignment horizontal="center" vertical="center"/>
    </xf>
    <xf numFmtId="0" fontId="655" fillId="0" borderId="0" xfId="0" applyFont="1" applyAlignment="1">
      <alignment horizontal="center" vertical="center"/>
    </xf>
    <xf numFmtId="185" fontId="288" fillId="0" borderId="0" xfId="0" applyNumberFormat="1" applyFont="1" applyAlignment="1">
      <alignment horizontal="center" vertical="center"/>
    </xf>
    <xf numFmtId="0" fontId="633" fillId="0" borderId="0" xfId="0" applyFont="1" applyAlignment="1">
      <alignment horizontal="center" vertical="center"/>
    </xf>
    <xf numFmtId="179" fontId="625" fillId="0" borderId="8" xfId="0" applyNumberFormat="1" applyFont="1" applyBorder="1" applyAlignment="1">
      <alignment horizontal="center" vertical="center"/>
    </xf>
    <xf numFmtId="179" fontId="609" fillId="0" borderId="8" xfId="0" applyNumberFormat="1" applyFont="1" applyBorder="1" applyAlignment="1">
      <alignment horizontal="center" vertical="center"/>
    </xf>
    <xf numFmtId="179" fontId="646" fillId="0" borderId="8" xfId="0" applyNumberFormat="1" applyFont="1" applyBorder="1" applyAlignment="1">
      <alignment horizontal="center" vertical="center"/>
    </xf>
    <xf numFmtId="179" fontId="682" fillId="0" borderId="8" xfId="0" applyNumberFormat="1" applyFont="1" applyBorder="1" applyAlignment="1">
      <alignment horizontal="center" vertical="center"/>
    </xf>
    <xf numFmtId="179" fontId="624" fillId="0" borderId="8" xfId="0" applyNumberFormat="1" applyFont="1" applyBorder="1" applyAlignment="1">
      <alignment horizontal="center" vertical="center"/>
    </xf>
    <xf numFmtId="179" fontId="651" fillId="0" borderId="8" xfId="0" applyNumberFormat="1" applyFont="1" applyBorder="1" applyAlignment="1">
      <alignment horizontal="center" vertical="center"/>
    </xf>
    <xf numFmtId="179" fontId="655" fillId="0" borderId="8" xfId="0" applyNumberFormat="1" applyFont="1" applyBorder="1" applyAlignment="1">
      <alignment horizontal="center" vertical="center"/>
    </xf>
    <xf numFmtId="179" fontId="288" fillId="0" borderId="8" xfId="0" applyNumberFormat="1" applyFont="1" applyBorder="1" applyAlignment="1">
      <alignment horizontal="center" vertical="center"/>
    </xf>
    <xf numFmtId="179" fontId="633" fillId="0" borderId="8" xfId="0" applyNumberFormat="1" applyFont="1" applyBorder="1" applyAlignment="1">
      <alignment horizontal="center" vertical="center"/>
    </xf>
    <xf numFmtId="188" fontId="646" fillId="0" borderId="0" xfId="0" applyNumberFormat="1" applyFont="1" applyAlignment="1">
      <alignment horizontal="center" vertical="center"/>
    </xf>
    <xf numFmtId="0" fontId="682" fillId="0" borderId="0" xfId="0" applyFont="1" applyAlignment="1">
      <alignment horizontal="center" vertical="center"/>
    </xf>
    <xf numFmtId="0" fontId="288" fillId="0" borderId="0" xfId="0" applyFont="1" applyAlignment="1">
      <alignment horizontal="center" vertical="center"/>
    </xf>
    <xf numFmtId="0" fontId="646" fillId="0" borderId="0" xfId="0" applyFont="1" applyAlignment="1">
      <alignment horizontal="center" vertical="center"/>
    </xf>
    <xf numFmtId="185" fontId="625" fillId="0" borderId="0" xfId="0" applyNumberFormat="1" applyFont="1" applyAlignment="1">
      <alignment horizontal="center" vertical="center"/>
    </xf>
    <xf numFmtId="185" fontId="651" fillId="0" borderId="0" xfId="0" applyNumberFormat="1" applyFont="1" applyAlignment="1">
      <alignment horizontal="center" vertical="center"/>
    </xf>
    <xf numFmtId="185" fontId="623" fillId="0" borderId="0" xfId="0" applyNumberFormat="1" applyFont="1" applyAlignment="1">
      <alignment horizontal="center" vertical="center"/>
    </xf>
    <xf numFmtId="1" fontId="248" fillId="2" borderId="8" xfId="0" applyNumberFormat="1" applyFont="1" applyFill="1" applyBorder="1" applyAlignment="1">
      <alignment horizontal="center" vertical="center"/>
    </xf>
    <xf numFmtId="185" fontId="16" fillId="2" borderId="8" xfId="0" applyNumberFormat="1" applyFont="1" applyFill="1" applyBorder="1" applyAlignment="1">
      <alignment horizontal="center" vertical="center"/>
    </xf>
    <xf numFmtId="186" fontId="172" fillId="2" borderId="11" xfId="0" applyNumberFormat="1" applyFont="1" applyFill="1" applyBorder="1" applyAlignment="1">
      <alignment horizontal="center" vertical="center"/>
    </xf>
    <xf numFmtId="172" fontId="29" fillId="2" borderId="8" xfId="0" applyNumberFormat="1" applyFont="1" applyFill="1" applyBorder="1" applyAlignment="1">
      <alignment horizontal="center" vertical="center"/>
    </xf>
    <xf numFmtId="192" fontId="163" fillId="2" borderId="8" xfId="0" applyNumberFormat="1" applyFont="1" applyFill="1" applyBorder="1" applyAlignment="1">
      <alignment horizontal="center" vertical="center"/>
    </xf>
    <xf numFmtId="2" fontId="169" fillId="2" borderId="11" xfId="0" applyNumberFormat="1" applyFont="1" applyFill="1" applyBorder="1" applyAlignment="1">
      <alignment horizontal="center" vertical="center"/>
    </xf>
    <xf numFmtId="0" fontId="282" fillId="2" borderId="9" xfId="0" applyNumberFormat="1" applyFont="1" applyFill="1" applyBorder="1" applyAlignment="1">
      <alignment horizontal="center" vertical="center"/>
    </xf>
    <xf numFmtId="186" fontId="16" fillId="2" borderId="8" xfId="0" applyNumberFormat="1" applyFont="1" applyFill="1" applyBorder="1" applyAlignment="1">
      <alignment horizontal="center" vertical="center"/>
    </xf>
    <xf numFmtId="189" fontId="245" fillId="2" borderId="8" xfId="0" applyNumberFormat="1" applyFont="1" applyFill="1" applyBorder="1" applyAlignment="1">
      <alignment horizontal="center" vertical="center"/>
    </xf>
    <xf numFmtId="186" fontId="163" fillId="2" borderId="8" xfId="0" applyNumberFormat="1" applyFont="1" applyFill="1" applyBorder="1" applyAlignment="1">
      <alignment horizontal="center" vertical="center"/>
    </xf>
    <xf numFmtId="189" fontId="172" fillId="2" borderId="8" xfId="0" applyNumberFormat="1" applyFont="1" applyFill="1" applyBorder="1" applyAlignment="1">
      <alignment horizontal="center" vertical="center"/>
    </xf>
    <xf numFmtId="0" fontId="248" fillId="2" borderId="8" xfId="0" applyNumberFormat="1" applyFont="1" applyFill="1" applyBorder="1" applyAlignment="1">
      <alignment horizontal="center" vertical="center"/>
    </xf>
    <xf numFmtId="2" fontId="248" fillId="2" borderId="164" xfId="0" applyNumberFormat="1" applyFont="1" applyFill="1" applyBorder="1" applyAlignment="1">
      <alignment horizontal="center" vertical="center"/>
    </xf>
    <xf numFmtId="0" fontId="325" fillId="2" borderId="160" xfId="0" applyNumberFormat="1" applyFont="1" applyFill="1" applyBorder="1" applyAlignment="1">
      <alignment horizontal="center" vertical="center"/>
    </xf>
    <xf numFmtId="0" fontId="315" fillId="2" borderId="160" xfId="0" applyNumberFormat="1" applyFont="1" applyFill="1" applyBorder="1" applyAlignment="1">
      <alignment horizontal="center" vertical="center"/>
    </xf>
    <xf numFmtId="0" fontId="252" fillId="2" borderId="160" xfId="0" applyNumberFormat="1" applyFont="1" applyFill="1" applyBorder="1" applyAlignment="1">
      <alignment horizontal="center" vertical="center"/>
    </xf>
    <xf numFmtId="0" fontId="238" fillId="2" borderId="160" xfId="0" applyNumberFormat="1" applyFont="1" applyFill="1" applyBorder="1" applyAlignment="1">
      <alignment horizontal="center" vertical="center"/>
    </xf>
    <xf numFmtId="0" fontId="258" fillId="2" borderId="160" xfId="0" applyNumberFormat="1" applyFont="1" applyFill="1" applyBorder="1" applyAlignment="1">
      <alignment horizontal="center" vertical="center"/>
    </xf>
    <xf numFmtId="0" fontId="318" fillId="2" borderId="160" xfId="0" applyNumberFormat="1" applyFont="1" applyFill="1" applyBorder="1" applyAlignment="1">
      <alignment horizontal="center" vertical="center"/>
    </xf>
    <xf numFmtId="0" fontId="249" fillId="2" borderId="160" xfId="0" applyNumberFormat="1" applyFont="1" applyFill="1" applyBorder="1" applyAlignment="1">
      <alignment horizontal="center" vertical="center"/>
    </xf>
    <xf numFmtId="0" fontId="232" fillId="2" borderId="165" xfId="0" applyNumberFormat="1" applyFont="1" applyFill="1" applyBorder="1" applyAlignment="1">
      <alignment horizontal="center" vertical="center"/>
    </xf>
    <xf numFmtId="49" fontId="675" fillId="4" borderId="53" xfId="0" applyNumberFormat="1" applyFont="1" applyFill="1" applyBorder="1" applyAlignment="1">
      <alignment horizontal="center" vertical="center"/>
    </xf>
    <xf numFmtId="0" fontId="378" fillId="2" borderId="58" xfId="0" applyNumberFormat="1" applyFont="1" applyFill="1" applyBorder="1" applyAlignment="1">
      <alignment horizontal="center" vertical="center"/>
    </xf>
    <xf numFmtId="0" fontId="322" fillId="2" borderId="58" xfId="0" applyNumberFormat="1" applyFont="1" applyFill="1" applyBorder="1" applyAlignment="1">
      <alignment horizontal="center" vertical="center"/>
    </xf>
    <xf numFmtId="49" fontId="98" fillId="2" borderId="57" xfId="0" applyNumberFormat="1" applyFont="1" applyFill="1" applyBorder="1" applyAlignment="1">
      <alignment horizontal="center" vertical="center"/>
    </xf>
    <xf numFmtId="49" fontId="162" fillId="2" borderId="59" xfId="0" applyNumberFormat="1" applyFont="1" applyFill="1" applyBorder="1" applyAlignment="1">
      <alignment horizontal="center" vertical="center"/>
    </xf>
    <xf numFmtId="49" fontId="14" fillId="2" borderId="62" xfId="0" applyNumberFormat="1" applyFont="1" applyFill="1" applyBorder="1" applyAlignment="1">
      <alignment horizontal="center" vertical="center"/>
    </xf>
    <xf numFmtId="49" fontId="168" fillId="2" borderId="59" xfId="0" applyNumberFormat="1" applyFont="1" applyFill="1" applyBorder="1" applyAlignment="1">
      <alignment horizontal="center" vertical="center"/>
    </xf>
    <xf numFmtId="2" fontId="176" fillId="2" borderId="57" xfId="0" applyNumberFormat="1" applyFont="1" applyFill="1" applyBorder="1" applyAlignment="1">
      <alignment horizontal="center" vertical="center"/>
    </xf>
    <xf numFmtId="2" fontId="163" fillId="2" borderId="59" xfId="0" applyNumberFormat="1" applyFont="1" applyFill="1" applyBorder="1" applyAlignment="1">
      <alignment horizontal="center" vertical="center"/>
    </xf>
    <xf numFmtId="2" fontId="16" fillId="2" borderId="62" xfId="0" applyNumberFormat="1" applyFont="1" applyFill="1" applyBorder="1" applyAlignment="1">
      <alignment horizontal="center" vertical="center"/>
    </xf>
    <xf numFmtId="2" fontId="169" fillId="2" borderId="59" xfId="0" applyNumberFormat="1" applyFont="1" applyFill="1" applyBorder="1" applyAlignment="1">
      <alignment horizontal="center" vertical="center"/>
    </xf>
    <xf numFmtId="2" fontId="288" fillId="2" borderId="59" xfId="0" applyNumberFormat="1" applyFont="1" applyFill="1" applyBorder="1" applyAlignment="1">
      <alignment horizontal="center" vertical="center"/>
    </xf>
    <xf numFmtId="2" fontId="276" fillId="2" borderId="59" xfId="0" applyNumberFormat="1" applyFont="1" applyFill="1" applyBorder="1" applyAlignment="1">
      <alignment horizontal="center" vertical="center"/>
    </xf>
    <xf numFmtId="2" fontId="194" fillId="2" borderId="41" xfId="0" applyNumberFormat="1" applyFont="1" applyFill="1" applyBorder="1" applyAlignment="1">
      <alignment horizontal="center"/>
    </xf>
    <xf numFmtId="170" fontId="625" fillId="2" borderId="41" xfId="0" applyNumberFormat="1" applyFont="1" applyFill="1" applyBorder="1" applyAlignment="1">
      <alignment horizontal="center" vertical="center"/>
    </xf>
    <xf numFmtId="2" fontId="690" fillId="2" borderId="47" xfId="0" applyNumberFormat="1" applyFont="1" applyFill="1" applyBorder="1" applyAlignment="1">
      <alignment horizontal="center" vertical="center"/>
    </xf>
    <xf numFmtId="179" fontId="588" fillId="0" borderId="8" xfId="0" applyNumberFormat="1" applyFont="1" applyBorder="1" applyAlignment="1">
      <alignment horizontal="center" vertical="center"/>
    </xf>
    <xf numFmtId="179" fontId="589" fillId="0" borderId="8" xfId="0" applyNumberFormat="1" applyFont="1" applyBorder="1" applyAlignment="1">
      <alignment horizontal="center" vertical="center"/>
    </xf>
    <xf numFmtId="179" fontId="604" fillId="0" borderId="8" xfId="0" applyNumberFormat="1" applyFont="1" applyBorder="1" applyAlignment="1">
      <alignment horizontal="center" vertical="center"/>
    </xf>
    <xf numFmtId="179" fontId="630" fillId="0" borderId="8" xfId="0" applyNumberFormat="1" applyFont="1" applyBorder="1" applyAlignment="1">
      <alignment horizontal="center" vertical="center"/>
    </xf>
    <xf numFmtId="179" fontId="591" fillId="0" borderId="8" xfId="0" applyNumberFormat="1" applyFont="1" applyBorder="1" applyAlignment="1">
      <alignment horizontal="center" vertical="center"/>
    </xf>
    <xf numFmtId="179" fontId="592" fillId="0" borderId="8" xfId="0" applyNumberFormat="1" applyFont="1" applyBorder="1" applyAlignment="1">
      <alignment horizontal="center" vertical="center"/>
    </xf>
    <xf numFmtId="179" fontId="593" fillId="0" borderId="8" xfId="0" applyNumberFormat="1" applyFont="1" applyBorder="1" applyAlignment="1">
      <alignment horizontal="center" vertical="center"/>
    </xf>
    <xf numFmtId="179" fontId="594" fillId="0" borderId="8" xfId="0" applyNumberFormat="1" applyFont="1" applyBorder="1" applyAlignment="1">
      <alignment horizontal="center" vertical="center"/>
    </xf>
    <xf numFmtId="179" fontId="163" fillId="0" borderId="8" xfId="0" applyNumberFormat="1" applyFont="1" applyBorder="1" applyAlignment="1">
      <alignment horizontal="center" vertical="center"/>
    </xf>
    <xf numFmtId="179" fontId="595" fillId="0" borderId="8" xfId="0" applyNumberFormat="1" applyFont="1" applyBorder="1" applyAlignment="1">
      <alignment horizontal="center" vertical="center"/>
    </xf>
    <xf numFmtId="179" fontId="0" fillId="11" borderId="8" xfId="0" applyNumberFormat="1" applyFont="1" applyFill="1" applyBorder="1" applyAlignment="1"/>
    <xf numFmtId="179" fontId="5" fillId="10" borderId="8" xfId="0" applyNumberFormat="1" applyFont="1" applyFill="1" applyBorder="1" applyAlignment="1">
      <alignment horizontal="center" vertical="center"/>
    </xf>
    <xf numFmtId="179" fontId="597" fillId="10" borderId="0" xfId="0" applyNumberFormat="1" applyFont="1" applyFill="1" applyAlignment="1">
      <alignment horizontal="center" vertical="center"/>
    </xf>
    <xf numFmtId="179" fontId="605" fillId="10" borderId="0" xfId="0" applyNumberFormat="1" applyFont="1" applyFill="1" applyAlignment="1">
      <alignment horizontal="center" vertical="center"/>
    </xf>
    <xf numFmtId="179" fontId="643" fillId="10" borderId="0" xfId="0" applyNumberFormat="1" applyFont="1" applyFill="1" applyAlignment="1">
      <alignment horizontal="center" vertical="center"/>
    </xf>
    <xf numFmtId="179" fontId="598" fillId="10" borderId="0" xfId="0" applyNumberFormat="1" applyFont="1" applyFill="1" applyAlignment="1">
      <alignment horizontal="center" vertical="center"/>
    </xf>
    <xf numFmtId="179" fontId="599" fillId="10" borderId="0" xfId="0" applyNumberFormat="1" applyFont="1" applyFill="1" applyAlignment="1">
      <alignment horizontal="center" vertical="center"/>
    </xf>
    <xf numFmtId="179" fontId="600" fillId="10" borderId="0" xfId="0" applyNumberFormat="1" applyFont="1" applyFill="1" applyAlignment="1">
      <alignment horizontal="center" vertical="center"/>
    </xf>
    <xf numFmtId="179" fontId="644" fillId="10" borderId="0" xfId="0" applyNumberFormat="1" applyFont="1" applyFill="1" applyAlignment="1">
      <alignment horizontal="center" vertical="center"/>
    </xf>
    <xf numFmtId="179" fontId="601" fillId="10" borderId="0" xfId="0" applyNumberFormat="1" applyFont="1" applyFill="1" applyAlignment="1">
      <alignment horizontal="center" vertical="center"/>
    </xf>
    <xf numFmtId="179" fontId="602" fillId="10" borderId="0" xfId="0" applyNumberFormat="1" applyFont="1" applyFill="1" applyAlignment="1">
      <alignment horizontal="center" vertical="center"/>
    </xf>
    <xf numFmtId="179" fontId="24" fillId="11" borderId="8" xfId="0" applyNumberFormat="1" applyFont="1" applyFill="1" applyBorder="1" applyAlignment="1">
      <alignment horizontal="center" vertical="center"/>
    </xf>
    <xf numFmtId="179" fontId="3" fillId="10" borderId="8" xfId="0" applyNumberFormat="1" applyFont="1" applyFill="1" applyBorder="1" applyAlignment="1">
      <alignment horizontal="center" vertical="center"/>
    </xf>
    <xf numFmtId="179" fontId="29" fillId="11" borderId="8" xfId="0" applyNumberFormat="1" applyFont="1" applyFill="1" applyBorder="1" applyAlignment="1">
      <alignment horizontal="center" vertical="center"/>
    </xf>
    <xf numFmtId="179" fontId="33" fillId="11" borderId="8" xfId="0" applyNumberFormat="1" applyFont="1" applyFill="1" applyBorder="1" applyAlignment="1">
      <alignment horizontal="center" vertical="center"/>
    </xf>
    <xf numFmtId="179" fontId="6" fillId="2" borderId="8" xfId="0" applyNumberFormat="1" applyFont="1" applyFill="1" applyBorder="1" applyAlignment="1">
      <alignment horizontal="center" vertical="center"/>
    </xf>
    <xf numFmtId="179" fontId="117" fillId="11" borderId="8" xfId="0" applyNumberFormat="1" applyFont="1" applyFill="1" applyBorder="1" applyAlignment="1"/>
    <xf numFmtId="179" fontId="0" fillId="0" borderId="0" xfId="0" applyNumberFormat="1" applyFont="1" applyAlignment="1"/>
    <xf numFmtId="179" fontId="2" fillId="2" borderId="8" xfId="0" applyNumberFormat="1" applyFont="1" applyFill="1" applyBorder="1" applyAlignment="1">
      <alignment horizontal="center" vertical="center"/>
    </xf>
    <xf numFmtId="179" fontId="609" fillId="0" borderId="0" xfId="0" applyNumberFormat="1" applyFont="1" applyAlignment="1">
      <alignment horizontal="center" vertical="center"/>
    </xf>
    <xf numFmtId="179" fontId="610" fillId="0" borderId="0" xfId="0" applyNumberFormat="1" applyFont="1" applyAlignment="1">
      <alignment horizontal="center" vertical="center"/>
    </xf>
    <xf numFmtId="179" fontId="646" fillId="0" borderId="0" xfId="0" applyNumberFormat="1" applyFont="1" applyAlignment="1">
      <alignment horizontal="center" vertical="center"/>
    </xf>
    <xf numFmtId="179" fontId="682" fillId="0" borderId="0" xfId="0" applyNumberFormat="1" applyFont="1" applyAlignment="1">
      <alignment horizontal="center" vertical="center"/>
    </xf>
    <xf numFmtId="179" fontId="624" fillId="0" borderId="0" xfId="0" applyNumberFormat="1" applyFont="1" applyAlignment="1">
      <alignment horizontal="center" vertical="center"/>
    </xf>
    <xf numFmtId="179" fontId="651" fillId="0" borderId="0" xfId="0" applyNumberFormat="1" applyFont="1" applyAlignment="1">
      <alignment horizontal="center" vertical="center"/>
    </xf>
    <xf numFmtId="179" fontId="623" fillId="0" borderId="0" xfId="0" applyNumberFormat="1" applyFont="1" applyAlignment="1">
      <alignment horizontal="center" vertical="center"/>
    </xf>
    <xf numFmtId="179" fontId="288" fillId="0" borderId="0" xfId="0" applyNumberFormat="1" applyFont="1" applyAlignment="1">
      <alignment horizontal="center" vertical="center"/>
    </xf>
    <xf numFmtId="179" fontId="633" fillId="0" borderId="0" xfId="0" applyNumberFormat="1" applyFont="1" applyAlignment="1">
      <alignment horizontal="center" vertical="center"/>
    </xf>
    <xf numFmtId="179" fontId="22" fillId="11" borderId="8" xfId="0" applyNumberFormat="1" applyFont="1" applyFill="1" applyBorder="1" applyAlignment="1">
      <alignment horizontal="center" vertical="center"/>
    </xf>
    <xf numFmtId="179" fontId="4" fillId="2" borderId="8" xfId="0" applyNumberFormat="1" applyFont="1" applyFill="1" applyBorder="1" applyAlignment="1">
      <alignment horizontal="center" vertical="center"/>
    </xf>
    <xf numFmtId="179" fontId="610" fillId="0" borderId="8" xfId="0" applyNumberFormat="1" applyFont="1" applyBorder="1" applyAlignment="1">
      <alignment horizontal="center" vertical="center"/>
    </xf>
    <xf numFmtId="179" fontId="32" fillId="11" borderId="8" xfId="0" applyNumberFormat="1" applyFont="1" applyFill="1" applyBorder="1" applyAlignment="1">
      <alignment horizontal="center" vertical="center"/>
    </xf>
    <xf numFmtId="179" fontId="683" fillId="2" borderId="8" xfId="0" applyNumberFormat="1" applyFont="1" applyFill="1" applyBorder="1" applyAlignment="1">
      <alignment horizontal="right" vertical="center"/>
    </xf>
    <xf numFmtId="179" fontId="33" fillId="2" borderId="8" xfId="0" applyNumberFormat="1" applyFont="1" applyFill="1" applyBorder="1" applyAlignment="1">
      <alignment horizontal="right" vertical="center"/>
    </xf>
    <xf numFmtId="179" fontId="0" fillId="2" borderId="8" xfId="0" applyNumberFormat="1" applyFont="1" applyFill="1" applyBorder="1" applyAlignment="1">
      <alignment horizontal="center" vertical="center"/>
    </xf>
    <xf numFmtId="211" fontId="0" fillId="11" borderId="8" xfId="0" applyNumberFormat="1" applyFont="1" applyFill="1" applyBorder="1" applyAlignment="1"/>
    <xf numFmtId="211" fontId="5" fillId="10" borderId="8" xfId="0" applyNumberFormat="1" applyFont="1" applyFill="1" applyBorder="1" applyAlignment="1">
      <alignment horizontal="center" vertical="center"/>
    </xf>
    <xf numFmtId="211" fontId="596" fillId="10" borderId="0" xfId="0" applyNumberFormat="1" applyFont="1" applyFill="1" applyAlignment="1">
      <alignment horizontal="center" vertical="center"/>
    </xf>
    <xf numFmtId="211" fontId="597" fillId="10" borderId="0" xfId="0" applyNumberFormat="1" applyFont="1" applyFill="1" applyAlignment="1">
      <alignment horizontal="center" vertical="center"/>
    </xf>
    <xf numFmtId="211" fontId="605" fillId="10" borderId="0" xfId="0" applyNumberFormat="1" applyFont="1" applyFill="1" applyAlignment="1">
      <alignment horizontal="center" vertical="center"/>
    </xf>
    <xf numFmtId="211" fontId="643" fillId="10" borderId="0" xfId="0" applyNumberFormat="1" applyFont="1" applyFill="1" applyAlignment="1">
      <alignment horizontal="center" vertical="center"/>
    </xf>
    <xf numFmtId="211" fontId="598" fillId="10" borderId="0" xfId="0" applyNumberFormat="1" applyFont="1" applyFill="1" applyAlignment="1">
      <alignment horizontal="center" vertical="center"/>
    </xf>
    <xf numFmtId="211" fontId="599" fillId="10" borderId="0" xfId="0" applyNumberFormat="1" applyFont="1" applyFill="1" applyAlignment="1">
      <alignment horizontal="center" vertical="center"/>
    </xf>
    <xf numFmtId="211" fontId="600" fillId="10" borderId="0" xfId="0" applyNumberFormat="1" applyFont="1" applyFill="1" applyAlignment="1">
      <alignment horizontal="center" vertical="center"/>
    </xf>
    <xf numFmtId="211" fontId="644" fillId="10" borderId="0" xfId="0" applyNumberFormat="1" applyFont="1" applyFill="1" applyAlignment="1">
      <alignment horizontal="center" vertical="center"/>
    </xf>
    <xf numFmtId="211" fontId="601" fillId="10" borderId="0" xfId="0" applyNumberFormat="1" applyFont="1" applyFill="1" applyAlignment="1">
      <alignment horizontal="center" vertical="center"/>
    </xf>
    <xf numFmtId="211" fontId="602" fillId="10" borderId="0" xfId="0" applyNumberFormat="1" applyFont="1" applyFill="1" applyAlignment="1">
      <alignment horizontal="center" vertical="center"/>
    </xf>
    <xf numFmtId="211" fontId="24" fillId="11" borderId="8" xfId="0" applyNumberFormat="1" applyFont="1" applyFill="1" applyBorder="1" applyAlignment="1">
      <alignment horizontal="center" vertical="center"/>
    </xf>
    <xf numFmtId="211" fontId="3" fillId="10" borderId="8" xfId="0" applyNumberFormat="1" applyFont="1" applyFill="1" applyBorder="1" applyAlignment="1">
      <alignment horizontal="center" vertical="center"/>
    </xf>
    <xf numFmtId="211" fontId="588" fillId="10" borderId="8" xfId="0" applyNumberFormat="1" applyFont="1" applyFill="1" applyBorder="1" applyAlignment="1">
      <alignment horizontal="center" vertical="center"/>
    </xf>
    <xf numFmtId="211" fontId="589" fillId="10" borderId="8" xfId="0" applyNumberFormat="1" applyFont="1" applyFill="1" applyBorder="1" applyAlignment="1">
      <alignment horizontal="center" vertical="center"/>
    </xf>
    <xf numFmtId="211" fontId="604" fillId="10" borderId="8" xfId="0" applyNumberFormat="1" applyFont="1" applyFill="1" applyBorder="1" applyAlignment="1">
      <alignment horizontal="center" vertical="center"/>
    </xf>
    <xf numFmtId="211" fontId="630" fillId="10" borderId="8" xfId="0" applyNumberFormat="1" applyFont="1" applyFill="1" applyBorder="1" applyAlignment="1">
      <alignment horizontal="center" vertical="center"/>
    </xf>
    <xf numFmtId="211" fontId="591" fillId="10" borderId="8" xfId="0" applyNumberFormat="1" applyFont="1" applyFill="1" applyBorder="1" applyAlignment="1">
      <alignment horizontal="center" vertical="center"/>
    </xf>
    <xf numFmtId="211" fontId="592" fillId="10" borderId="8" xfId="0" applyNumberFormat="1" applyFont="1" applyFill="1" applyBorder="1" applyAlignment="1">
      <alignment horizontal="center" vertical="center"/>
    </xf>
    <xf numFmtId="211" fontId="593" fillId="10" borderId="8" xfId="0" applyNumberFormat="1" applyFont="1" applyFill="1" applyBorder="1" applyAlignment="1">
      <alignment horizontal="center" vertical="center"/>
    </xf>
    <xf numFmtId="211" fontId="594" fillId="10" borderId="8" xfId="0" applyNumberFormat="1" applyFont="1" applyFill="1" applyBorder="1" applyAlignment="1">
      <alignment horizontal="center" vertical="center"/>
    </xf>
    <xf numFmtId="211" fontId="163" fillId="10" borderId="8" xfId="0" applyNumberFormat="1" applyFont="1" applyFill="1" applyBorder="1" applyAlignment="1">
      <alignment horizontal="center" vertical="center"/>
    </xf>
    <xf numFmtId="211" fontId="595" fillId="10" borderId="8" xfId="0" applyNumberFormat="1" applyFont="1" applyFill="1" applyBorder="1" applyAlignment="1">
      <alignment horizontal="center" vertical="center"/>
    </xf>
    <xf numFmtId="211" fontId="29" fillId="11" borderId="8" xfId="0" applyNumberFormat="1" applyFont="1" applyFill="1" applyBorder="1" applyAlignment="1">
      <alignment horizontal="center" vertical="center"/>
    </xf>
    <xf numFmtId="211" fontId="33" fillId="11" borderId="8" xfId="0" applyNumberFormat="1" applyFont="1" applyFill="1" applyBorder="1" applyAlignment="1">
      <alignment horizontal="center" vertical="center"/>
    </xf>
    <xf numFmtId="211" fontId="684" fillId="2" borderId="8" xfId="0" applyNumberFormat="1" applyFont="1" applyFill="1" applyBorder="1" applyAlignment="1">
      <alignment horizontal="left" vertical="center"/>
    </xf>
    <xf numFmtId="211" fontId="0" fillId="2" borderId="8" xfId="0" applyNumberFormat="1" applyFont="1" applyFill="1" applyBorder="1" applyAlignment="1">
      <alignment horizontal="center" vertical="center"/>
    </xf>
    <xf numFmtId="211" fontId="117" fillId="11" borderId="8" xfId="0" applyNumberFormat="1" applyFont="1" applyFill="1" applyBorder="1" applyAlignment="1"/>
    <xf numFmtId="211" fontId="0" fillId="0" borderId="0" xfId="0" applyNumberFormat="1" applyFont="1" applyAlignment="1"/>
    <xf numFmtId="0" fontId="0" fillId="0" borderId="8" xfId="0" applyFont="1" applyBorder="1" applyAlignment="1"/>
    <xf numFmtId="49" fontId="106" fillId="2" borderId="8" xfId="0" applyNumberFormat="1" applyFont="1" applyFill="1" applyBorder="1" applyAlignment="1">
      <alignment horizontal="center" vertical="center"/>
    </xf>
    <xf numFmtId="49" fontId="105" fillId="2" borderId="8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49" fontId="99" fillId="2" borderId="8" xfId="0" applyNumberFormat="1" applyFont="1" applyFill="1" applyBorder="1" applyAlignment="1">
      <alignment horizontal="center" vertical="center"/>
    </xf>
    <xf numFmtId="49" fontId="98" fillId="2" borderId="8" xfId="0" applyNumberFormat="1" applyFont="1" applyFill="1" applyBorder="1" applyAlignment="1">
      <alignment horizontal="center" vertical="center"/>
    </xf>
    <xf numFmtId="0" fontId="409" fillId="2" borderId="8" xfId="0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49" fontId="86" fillId="2" borderId="8" xfId="0" applyNumberFormat="1" applyFont="1" applyFill="1" applyBorder="1" applyAlignment="1">
      <alignment horizontal="center" vertical="center"/>
    </xf>
    <xf numFmtId="2" fontId="431" fillId="2" borderId="164" xfId="0" applyNumberFormat="1" applyFont="1" applyFill="1" applyBorder="1" applyAlignment="1">
      <alignment horizontal="center" vertical="center"/>
    </xf>
    <xf numFmtId="49" fontId="109" fillId="2" borderId="8" xfId="0" applyNumberFormat="1" applyFont="1" applyFill="1" applyBorder="1" applyAlignment="1">
      <alignment horizontal="center" vertical="center"/>
    </xf>
    <xf numFmtId="49" fontId="177" fillId="2" borderId="8" xfId="0" applyNumberFormat="1" applyFont="1" applyFill="1" applyBorder="1" applyAlignment="1">
      <alignment horizontal="center" vertical="center"/>
    </xf>
    <xf numFmtId="2" fontId="431" fillId="2" borderId="8" xfId="0" applyNumberFormat="1" applyFont="1" applyFill="1" applyBorder="1" applyAlignment="1">
      <alignment horizontal="center" vertical="center"/>
    </xf>
    <xf numFmtId="49" fontId="691" fillId="13" borderId="8" xfId="0" applyNumberFormat="1" applyFont="1" applyFill="1" applyBorder="1" applyAlignment="1">
      <alignment horizontal="center" vertical="center"/>
    </xf>
    <xf numFmtId="49" fontId="612" fillId="13" borderId="8" xfId="0" applyNumberFormat="1" applyFont="1" applyFill="1" applyBorder="1" applyAlignment="1">
      <alignment horizontal="center"/>
    </xf>
    <xf numFmtId="49" fontId="692" fillId="13" borderId="8" xfId="0" applyNumberFormat="1" applyFont="1" applyFill="1" applyBorder="1" applyAlignment="1">
      <alignment horizontal="center" vertical="center"/>
    </xf>
    <xf numFmtId="49" fontId="191" fillId="2" borderId="8" xfId="0" applyNumberFormat="1" applyFont="1" applyFill="1" applyBorder="1" applyAlignment="1">
      <alignment horizontal="center" vertical="center"/>
    </xf>
    <xf numFmtId="49" fontId="199" fillId="2" borderId="8" xfId="0" applyNumberFormat="1" applyFont="1" applyFill="1" applyBorder="1" applyAlignment="1">
      <alignment horizontal="center" vertical="center"/>
    </xf>
    <xf numFmtId="49" fontId="205" fillId="2" borderId="8" xfId="0" applyNumberFormat="1" applyFont="1" applyFill="1" applyBorder="1" applyAlignment="1">
      <alignment horizontal="center" vertical="center"/>
    </xf>
    <xf numFmtId="49" fontId="138" fillId="2" borderId="166" xfId="0" applyNumberFormat="1" applyFont="1" applyFill="1" applyBorder="1" applyAlignment="1">
      <alignment horizontal="center"/>
    </xf>
    <xf numFmtId="49" fontId="109" fillId="2" borderId="166" xfId="0" applyNumberFormat="1" applyFont="1" applyFill="1" applyBorder="1" applyAlignment="1">
      <alignment horizontal="center" vertical="center"/>
    </xf>
    <xf numFmtId="2" fontId="188" fillId="2" borderId="167" xfId="0" applyNumberFormat="1" applyFont="1" applyFill="1" applyBorder="1" applyAlignment="1">
      <alignment horizontal="center" vertical="center"/>
    </xf>
    <xf numFmtId="49" fontId="28" fillId="2" borderId="166" xfId="0" applyNumberFormat="1" applyFont="1" applyFill="1" applyBorder="1" applyAlignment="1">
      <alignment horizontal="center" vertical="center"/>
    </xf>
    <xf numFmtId="49" fontId="128" fillId="6" borderId="162" xfId="0" applyNumberFormat="1" applyFont="1" applyFill="1" applyBorder="1" applyAlignment="1">
      <alignment horizontal="center" vertical="center"/>
    </xf>
    <xf numFmtId="49" fontId="675" fillId="4" borderId="163" xfId="0" applyNumberFormat="1" applyFont="1" applyFill="1" applyBorder="1" applyAlignment="1">
      <alignment horizontal="center" vertical="center"/>
    </xf>
    <xf numFmtId="2" fontId="284" fillId="2" borderId="185" xfId="0" applyNumberFormat="1" applyFont="1" applyFill="1" applyBorder="1" applyAlignment="1">
      <alignment horizontal="center" vertical="center"/>
    </xf>
    <xf numFmtId="2" fontId="250" fillId="2" borderId="187" xfId="0" applyNumberFormat="1" applyFont="1" applyFill="1" applyBorder="1" applyAlignment="1">
      <alignment horizontal="center" vertical="center"/>
    </xf>
    <xf numFmtId="2" fontId="194" fillId="2" borderId="187" xfId="0" applyNumberFormat="1" applyFont="1" applyFill="1" applyBorder="1" applyAlignment="1">
      <alignment horizontal="center" vertical="center"/>
    </xf>
    <xf numFmtId="2" fontId="326" fillId="2" borderId="187" xfId="0" applyNumberFormat="1" applyFont="1" applyFill="1" applyBorder="1" applyAlignment="1">
      <alignment horizontal="center" vertical="center"/>
    </xf>
    <xf numFmtId="2" fontId="276" fillId="2" borderId="187" xfId="0" applyNumberFormat="1" applyFont="1" applyFill="1" applyBorder="1" applyAlignment="1">
      <alignment horizontal="center" vertical="center"/>
    </xf>
    <xf numFmtId="2" fontId="233" fillId="2" borderId="187" xfId="0" applyNumberFormat="1" applyFont="1" applyFill="1" applyBorder="1" applyAlignment="1">
      <alignment horizontal="center" vertical="center"/>
    </xf>
    <xf numFmtId="2" fontId="288" fillId="2" borderId="187" xfId="0" applyNumberFormat="1" applyFont="1" applyFill="1" applyBorder="1" applyAlignment="1">
      <alignment horizontal="center" vertical="center"/>
    </xf>
    <xf numFmtId="2" fontId="269" fillId="2" borderId="187" xfId="0" applyNumberFormat="1" applyFont="1" applyFill="1" applyBorder="1" applyAlignment="1">
      <alignment horizontal="center" vertical="center"/>
    </xf>
    <xf numFmtId="2" fontId="280" fillId="2" borderId="187" xfId="0" applyNumberFormat="1" applyFont="1" applyFill="1" applyBorder="1" applyAlignment="1">
      <alignment horizontal="center" vertical="center"/>
    </xf>
    <xf numFmtId="49" fontId="14" fillId="2" borderId="189" xfId="0" applyNumberFormat="1" applyFont="1" applyFill="1" applyBorder="1" applyAlignment="1">
      <alignment horizontal="center" vertical="center"/>
    </xf>
    <xf numFmtId="2" fontId="16" fillId="2" borderId="189" xfId="0" applyNumberFormat="1" applyFont="1" applyFill="1" applyBorder="1" applyAlignment="1">
      <alignment horizontal="center" vertical="center"/>
    </xf>
    <xf numFmtId="2" fontId="15" fillId="2" borderId="190" xfId="0" applyNumberFormat="1" applyFont="1" applyFill="1" applyBorder="1" applyAlignment="1">
      <alignment horizontal="center" vertical="center"/>
    </xf>
    <xf numFmtId="2" fontId="284" fillId="2" borderId="8" xfId="0" applyNumberFormat="1" applyFont="1" applyFill="1" applyBorder="1" applyAlignment="1">
      <alignment horizontal="center" vertical="center"/>
    </xf>
    <xf numFmtId="2" fontId="250" fillId="2" borderId="8" xfId="0" applyNumberFormat="1" applyFont="1" applyFill="1" applyBorder="1" applyAlignment="1">
      <alignment horizontal="center" vertical="center"/>
    </xf>
    <xf numFmtId="2" fontId="194" fillId="2" borderId="8" xfId="0" applyNumberFormat="1" applyFont="1" applyFill="1" applyBorder="1" applyAlignment="1">
      <alignment horizontal="center" vertical="center"/>
    </xf>
    <xf numFmtId="2" fontId="326" fillId="2" borderId="8" xfId="0" applyNumberFormat="1" applyFont="1" applyFill="1" applyBorder="1" applyAlignment="1">
      <alignment horizontal="center" vertical="center"/>
    </xf>
    <xf numFmtId="2" fontId="276" fillId="2" borderId="8" xfId="0" applyNumberFormat="1" applyFont="1" applyFill="1" applyBorder="1" applyAlignment="1">
      <alignment horizontal="center" vertical="center"/>
    </xf>
    <xf numFmtId="2" fontId="233" fillId="2" borderId="8" xfId="0" applyNumberFormat="1" applyFont="1" applyFill="1" applyBorder="1" applyAlignment="1">
      <alignment horizontal="center" vertical="center"/>
    </xf>
    <xf numFmtId="2" fontId="288" fillId="2" borderId="8" xfId="0" applyNumberFormat="1" applyFont="1" applyFill="1" applyBorder="1" applyAlignment="1">
      <alignment horizontal="center" vertical="center"/>
    </xf>
    <xf numFmtId="2" fontId="269" fillId="2" borderId="8" xfId="0" applyNumberFormat="1" applyFont="1" applyFill="1" applyBorder="1" applyAlignment="1">
      <alignment horizontal="center" vertical="center"/>
    </xf>
    <xf numFmtId="2" fontId="280" fillId="2" borderId="8" xfId="0" applyNumberFormat="1" applyFont="1" applyFill="1" applyBorder="1" applyAlignment="1">
      <alignment horizontal="center" vertical="center"/>
    </xf>
    <xf numFmtId="2" fontId="15" fillId="2" borderId="8" xfId="0" applyNumberFormat="1" applyFont="1" applyFill="1" applyBorder="1" applyAlignment="1">
      <alignment horizontal="center" vertical="center"/>
    </xf>
    <xf numFmtId="49" fontId="675" fillId="0" borderId="8" xfId="0" applyNumberFormat="1" applyFont="1" applyFill="1" applyBorder="1" applyAlignment="1">
      <alignment horizontal="center" vertical="center"/>
    </xf>
    <xf numFmtId="49" fontId="154" fillId="0" borderId="8" xfId="0" applyNumberFormat="1" applyFont="1" applyFill="1" applyBorder="1" applyAlignment="1">
      <alignment horizontal="center" vertical="center"/>
    </xf>
    <xf numFmtId="2" fontId="677" fillId="2" borderId="8" xfId="0" applyNumberFormat="1" applyFont="1" applyFill="1" applyBorder="1" applyAlignment="1">
      <alignment horizontal="center" vertical="center"/>
    </xf>
    <xf numFmtId="0" fontId="0" fillId="0" borderId="8" xfId="0" applyFont="1" applyBorder="1" applyAlignment="1"/>
    <xf numFmtId="49" fontId="154" fillId="4" borderId="8" xfId="0" applyNumberFormat="1" applyFont="1" applyFill="1" applyBorder="1" applyAlignment="1">
      <alignment horizontal="center" vertical="center"/>
    </xf>
    <xf numFmtId="49" fontId="154" fillId="4" borderId="142" xfId="0" applyNumberFormat="1" applyFont="1" applyFill="1" applyBorder="1" applyAlignment="1">
      <alignment horizontal="center" vertical="center"/>
    </xf>
    <xf numFmtId="49" fontId="168" fillId="2" borderId="8" xfId="0" applyNumberFormat="1" applyFont="1" applyFill="1" applyBorder="1" applyAlignment="1">
      <alignment horizontal="center" vertical="center"/>
    </xf>
    <xf numFmtId="0" fontId="234" fillId="2" borderId="184" xfId="0" applyNumberFormat="1" applyFont="1" applyFill="1" applyBorder="1" applyAlignment="1">
      <alignment horizontal="center" vertical="center"/>
    </xf>
    <xf numFmtId="0" fontId="695" fillId="2" borderId="186" xfId="0" applyNumberFormat="1" applyFont="1" applyFill="1" applyBorder="1" applyAlignment="1">
      <alignment horizontal="center" vertical="center"/>
    </xf>
    <xf numFmtId="0" fontId="696" fillId="2" borderId="186" xfId="0" applyNumberFormat="1" applyFont="1" applyFill="1" applyBorder="1" applyAlignment="1">
      <alignment horizontal="center" vertical="center"/>
    </xf>
    <xf numFmtId="0" fontId="329" fillId="2" borderId="186" xfId="0" applyNumberFormat="1" applyFont="1" applyFill="1" applyBorder="1" applyAlignment="1">
      <alignment horizontal="center" vertical="center"/>
    </xf>
    <xf numFmtId="0" fontId="316" fillId="2" borderId="186" xfId="0" applyNumberFormat="1" applyFont="1" applyFill="1" applyBorder="1" applyAlignment="1">
      <alignment horizontal="center" vertical="center"/>
    </xf>
    <xf numFmtId="0" fontId="289" fillId="2" borderId="186" xfId="0" applyNumberFormat="1" applyFont="1" applyFill="1" applyBorder="1" applyAlignment="1">
      <alignment horizontal="center" vertical="center"/>
    </xf>
    <xf numFmtId="0" fontId="297" fillId="2" borderId="186" xfId="0" applyNumberFormat="1" applyFont="1" applyFill="1" applyBorder="1" applyAlignment="1">
      <alignment horizontal="center" vertical="center"/>
    </xf>
    <xf numFmtId="0" fontId="282" fillId="2" borderId="186" xfId="0" applyNumberFormat="1" applyFont="1" applyFill="1" applyBorder="1" applyAlignment="1">
      <alignment horizontal="center" vertical="center"/>
    </xf>
    <xf numFmtId="0" fontId="697" fillId="2" borderId="186" xfId="0" applyNumberFormat="1" applyFont="1" applyFill="1" applyBorder="1" applyAlignment="1">
      <alignment horizontal="center" vertical="center"/>
    </xf>
    <xf numFmtId="0" fontId="333" fillId="2" borderId="188" xfId="0" applyNumberFormat="1" applyFont="1" applyFill="1" applyBorder="1" applyAlignment="1">
      <alignment horizontal="center" vertical="center"/>
    </xf>
    <xf numFmtId="0" fontId="589" fillId="0" borderId="8" xfId="0" applyNumberFormat="1" applyFont="1" applyBorder="1" applyAlignment="1"/>
    <xf numFmtId="0" fontId="595" fillId="0" borderId="8" xfId="0" applyNumberFormat="1" applyFont="1" applyBorder="1" applyAlignment="1"/>
    <xf numFmtId="0" fontId="592" fillId="0" borderId="8" xfId="0" applyNumberFormat="1" applyFont="1" applyBorder="1" applyAlignment="1"/>
    <xf numFmtId="0" fontId="591" fillId="0" borderId="8" xfId="0" applyNumberFormat="1" applyFont="1" applyBorder="1" applyAlignment="1"/>
    <xf numFmtId="0" fontId="589" fillId="0" borderId="8" xfId="0" applyNumberFormat="1" applyFont="1" applyBorder="1" applyAlignment="1">
      <alignment horizontal="center"/>
    </xf>
    <xf numFmtId="0" fontId="604" fillId="0" borderId="8" xfId="0" applyNumberFormat="1" applyFont="1" applyBorder="1" applyAlignment="1">
      <alignment horizontal="center"/>
    </xf>
    <xf numFmtId="0" fontId="630" fillId="0" borderId="8" xfId="0" applyNumberFormat="1" applyFont="1" applyBorder="1" applyAlignment="1">
      <alignment horizontal="center"/>
    </xf>
    <xf numFmtId="0" fontId="621" fillId="0" borderId="8" xfId="0" applyNumberFormat="1" applyFont="1" applyBorder="1" applyAlignment="1">
      <alignment horizontal="center"/>
    </xf>
    <xf numFmtId="0" fontId="622" fillId="0" borderId="8" xfId="0" applyNumberFormat="1" applyFont="1" applyBorder="1" applyAlignment="1">
      <alignment horizontal="center"/>
    </xf>
    <xf numFmtId="0" fontId="595" fillId="0" borderId="8" xfId="0" applyNumberFormat="1" applyFont="1" applyBorder="1" applyAlignment="1">
      <alignment horizontal="center"/>
    </xf>
    <xf numFmtId="0" fontId="163" fillId="0" borderId="8" xfId="0" applyNumberFormat="1" applyFont="1" applyBorder="1" applyAlignment="1">
      <alignment horizontal="center"/>
    </xf>
    <xf numFmtId="0" fontId="591" fillId="0" borderId="8" xfId="0" applyNumberFormat="1" applyFont="1" applyBorder="1" applyAlignment="1">
      <alignment horizontal="center"/>
    </xf>
    <xf numFmtId="49" fontId="128" fillId="4" borderId="162" xfId="0" applyNumberFormat="1" applyFont="1" applyFill="1" applyBorder="1" applyAlignment="1">
      <alignment horizontal="right" vertical="center"/>
    </xf>
    <xf numFmtId="0" fontId="128" fillId="4" borderId="162" xfId="0" applyFont="1" applyFill="1" applyBorder="1" applyAlignment="1">
      <alignment horizontal="center" vertical="center"/>
    </xf>
    <xf numFmtId="2" fontId="699" fillId="0" borderId="164" xfId="0" applyNumberFormat="1" applyFont="1" applyBorder="1" applyAlignment="1">
      <alignment horizontal="center" vertical="center"/>
    </xf>
    <xf numFmtId="2" fontId="700" fillId="0" borderId="164" xfId="0" applyNumberFormat="1" applyFont="1" applyBorder="1" applyAlignment="1">
      <alignment horizontal="center" vertical="center"/>
    </xf>
    <xf numFmtId="2" fontId="701" fillId="0" borderId="164" xfId="0" applyNumberFormat="1" applyFont="1" applyBorder="1" applyAlignment="1">
      <alignment horizontal="center" vertical="center"/>
    </xf>
    <xf numFmtId="2" fontId="702" fillId="0" borderId="164" xfId="0" applyNumberFormat="1" applyFont="1" applyBorder="1" applyAlignment="1">
      <alignment horizontal="center" vertical="center"/>
    </xf>
    <xf numFmtId="2" fontId="703" fillId="0" borderId="164" xfId="0" applyNumberFormat="1" applyFont="1" applyBorder="1" applyAlignment="1">
      <alignment horizontal="center" vertical="center"/>
    </xf>
    <xf numFmtId="2" fontId="704" fillId="0" borderId="164" xfId="0" applyNumberFormat="1" applyFont="1" applyBorder="1" applyAlignment="1">
      <alignment horizontal="center" vertical="center"/>
    </xf>
    <xf numFmtId="2" fontId="705" fillId="0" borderId="164" xfId="0" applyNumberFormat="1" applyFont="1" applyBorder="1" applyAlignment="1">
      <alignment horizontal="center" vertical="center"/>
    </xf>
    <xf numFmtId="2" fontId="706" fillId="0" borderId="164" xfId="0" applyNumberFormat="1" applyFont="1" applyBorder="1" applyAlignment="1">
      <alignment horizontal="center" vertical="center"/>
    </xf>
    <xf numFmtId="2" fontId="240" fillId="0" borderId="164" xfId="0" applyNumberFormat="1" applyFont="1" applyBorder="1" applyAlignment="1">
      <alignment horizontal="center" vertical="center"/>
    </xf>
    <xf numFmtId="0" fontId="592" fillId="0" borderId="166" xfId="0" applyNumberFormat="1" applyFont="1" applyBorder="1" applyAlignment="1">
      <alignment horizontal="center"/>
    </xf>
    <xf numFmtId="2" fontId="707" fillId="0" borderId="167" xfId="0" applyNumberFormat="1" applyFont="1" applyBorder="1" applyAlignment="1">
      <alignment horizontal="center" vertical="center"/>
    </xf>
    <xf numFmtId="49" fontId="128" fillId="7" borderId="161" xfId="0" applyNumberFormat="1" applyFont="1" applyFill="1" applyBorder="1" applyAlignment="1">
      <alignment horizontal="center" vertical="center"/>
    </xf>
    <xf numFmtId="49" fontId="154" fillId="7" borderId="162" xfId="0" applyNumberFormat="1" applyFont="1" applyFill="1" applyBorder="1" applyAlignment="1">
      <alignment horizontal="center" vertical="center"/>
    </xf>
    <xf numFmtId="49" fontId="154" fillId="7" borderId="162" xfId="0" applyNumberFormat="1" applyFont="1" applyFill="1" applyBorder="1" applyAlignment="1">
      <alignment vertical="center"/>
    </xf>
    <xf numFmtId="49" fontId="154" fillId="7" borderId="163" xfId="0" applyNumberFormat="1" applyFont="1" applyFill="1" applyBorder="1" applyAlignment="1">
      <alignment horizontal="center" vertical="center"/>
    </xf>
    <xf numFmtId="0" fontId="273" fillId="2" borderId="160" xfId="0" applyFont="1" applyFill="1" applyBorder="1" applyAlignment="1">
      <alignment horizontal="center" vertical="center"/>
    </xf>
    <xf numFmtId="0" fontId="588" fillId="0" borderId="164" xfId="0" applyFont="1" applyBorder="1" applyAlignment="1">
      <alignment horizontal="center" vertical="center"/>
    </xf>
    <xf numFmtId="0" fontId="273" fillId="2" borderId="165" xfId="0" applyFont="1" applyFill="1" applyBorder="1" applyAlignment="1">
      <alignment horizontal="center" vertical="center"/>
    </xf>
    <xf numFmtId="49" fontId="138" fillId="0" borderId="166" xfId="0" applyNumberFormat="1" applyFont="1" applyBorder="1" applyAlignment="1">
      <alignment horizontal="center"/>
    </xf>
    <xf numFmtId="49" fontId="86" fillId="2" borderId="166" xfId="0" applyNumberFormat="1" applyFont="1" applyFill="1" applyBorder="1" applyAlignment="1">
      <alignment horizontal="center" vertical="center"/>
    </xf>
    <xf numFmtId="0" fontId="621" fillId="0" borderId="166" xfId="0" applyNumberFormat="1" applyFont="1" applyBorder="1" applyAlignment="1">
      <alignment horizontal="center"/>
    </xf>
    <xf numFmtId="49" fontId="141" fillId="2" borderId="166" xfId="0" applyNumberFormat="1" applyFont="1" applyFill="1" applyBorder="1" applyAlignment="1">
      <alignment horizontal="center" vertical="center"/>
    </xf>
    <xf numFmtId="0" fontId="592" fillId="0" borderId="166" xfId="0" applyNumberFormat="1" applyFont="1" applyBorder="1" applyAlignment="1"/>
    <xf numFmtId="2" fontId="37" fillId="2" borderId="167" xfId="0" applyNumberFormat="1" applyFont="1" applyFill="1" applyBorder="1" applyAlignment="1">
      <alignment horizontal="center" vertical="center"/>
    </xf>
    <xf numFmtId="2" fontId="589" fillId="2" borderId="164" xfId="0" applyNumberFormat="1" applyFont="1" applyFill="1" applyBorder="1" applyAlignment="1">
      <alignment horizontal="center" vertical="center"/>
    </xf>
    <xf numFmtId="2" fontId="604" fillId="2" borderId="164" xfId="0" applyNumberFormat="1" applyFont="1" applyFill="1" applyBorder="1" applyAlignment="1">
      <alignment horizontal="center" vertical="center"/>
    </xf>
    <xf numFmtId="2" fontId="592" fillId="2" borderId="164" xfId="0" applyNumberFormat="1" applyFont="1" applyFill="1" applyBorder="1" applyAlignment="1">
      <alignment horizontal="center" vertical="center"/>
    </xf>
    <xf numFmtId="2" fontId="588" fillId="2" borderId="164" xfId="0" applyNumberFormat="1" applyFont="1" applyFill="1" applyBorder="1" applyAlignment="1">
      <alignment horizontal="center" vertical="center"/>
    </xf>
    <xf numFmtId="2" fontId="595" fillId="2" borderId="164" xfId="0" applyNumberFormat="1" applyFont="1" applyFill="1" applyBorder="1" applyAlignment="1">
      <alignment horizontal="center" vertical="center"/>
    </xf>
    <xf numFmtId="1" fontId="650" fillId="2" borderId="166" xfId="0" applyNumberFormat="1" applyFont="1" applyFill="1" applyBorder="1" applyAlignment="1">
      <alignment horizontal="left"/>
    </xf>
    <xf numFmtId="49" fontId="698" fillId="2" borderId="8" xfId="0" applyNumberFormat="1" applyFont="1" applyFill="1" applyBorder="1" applyAlignment="1">
      <alignment horizontal="left" vertical="center"/>
    </xf>
    <xf numFmtId="1" fontId="708" fillId="2" borderId="8" xfId="0" applyNumberFormat="1" applyFont="1" applyFill="1" applyBorder="1" applyAlignment="1">
      <alignment horizontal="left"/>
    </xf>
    <xf numFmtId="1" fontId="709" fillId="2" borderId="8" xfId="0" applyNumberFormat="1" applyFont="1" applyFill="1" applyBorder="1" applyAlignment="1">
      <alignment horizontal="left" vertical="center"/>
    </xf>
    <xf numFmtId="1" fontId="710" fillId="2" borderId="8" xfId="0" applyNumberFormat="1" applyFont="1" applyFill="1" applyBorder="1" applyAlignment="1">
      <alignment horizontal="left"/>
    </xf>
    <xf numFmtId="1" fontId="711" fillId="2" borderId="8" xfId="0" applyNumberFormat="1" applyFont="1" applyFill="1" applyBorder="1" applyAlignment="1">
      <alignment horizontal="left" vertical="center"/>
    </xf>
    <xf numFmtId="49" fontId="712" fillId="2" borderId="8" xfId="0" applyNumberFormat="1" applyFont="1" applyFill="1" applyBorder="1" applyAlignment="1">
      <alignment horizontal="left" vertical="center"/>
    </xf>
    <xf numFmtId="1" fontId="713" fillId="2" borderId="8" xfId="0" applyNumberFormat="1" applyFont="1" applyFill="1" applyBorder="1" applyAlignment="1">
      <alignment horizontal="left"/>
    </xf>
    <xf numFmtId="1" fontId="714" fillId="2" borderId="8" xfId="0" applyNumberFormat="1" applyFont="1" applyFill="1" applyBorder="1" applyAlignment="1">
      <alignment horizontal="left" vertical="center"/>
    </xf>
    <xf numFmtId="49" fontId="128" fillId="11" borderId="161" xfId="0" applyNumberFormat="1" applyFont="1" applyFill="1" applyBorder="1" applyAlignment="1">
      <alignment horizontal="center" vertical="center"/>
    </xf>
    <xf numFmtId="49" fontId="128" fillId="11" borderId="162" xfId="0" applyNumberFormat="1" applyFont="1" applyFill="1" applyBorder="1" applyAlignment="1">
      <alignment horizontal="center" vertical="center"/>
    </xf>
    <xf numFmtId="0" fontId="128" fillId="11" borderId="162" xfId="0" applyFont="1" applyFill="1" applyBorder="1" applyAlignment="1">
      <alignment horizontal="center" vertical="center"/>
    </xf>
    <xf numFmtId="49" fontId="128" fillId="11" borderId="163" xfId="0" applyNumberFormat="1" applyFont="1" applyFill="1" applyBorder="1" applyAlignment="1">
      <alignment horizontal="center" vertical="center"/>
    </xf>
    <xf numFmtId="0" fontId="623" fillId="2" borderId="160" xfId="0" applyNumberFormat="1" applyFont="1" applyFill="1" applyBorder="1" applyAlignment="1">
      <alignment horizontal="center" vertical="center"/>
    </xf>
    <xf numFmtId="2" fontId="622" fillId="2" borderId="164" xfId="0" applyNumberFormat="1" applyFont="1" applyFill="1" applyBorder="1" applyAlignment="1">
      <alignment horizontal="center" vertical="center"/>
    </xf>
    <xf numFmtId="0" fontId="633" fillId="2" borderId="160" xfId="0" applyNumberFormat="1" applyFont="1" applyFill="1" applyBorder="1" applyAlignment="1">
      <alignment horizontal="center" vertical="center"/>
    </xf>
    <xf numFmtId="0" fontId="609" fillId="2" borderId="160" xfId="0" applyNumberFormat="1" applyFont="1" applyFill="1" applyBorder="1" applyAlignment="1">
      <alignment horizontal="center" vertical="center"/>
    </xf>
    <xf numFmtId="2" fontId="630" fillId="2" borderId="164" xfId="0" applyNumberFormat="1" applyFont="1" applyFill="1" applyBorder="1" applyAlignment="1">
      <alignment horizontal="center" vertical="center"/>
    </xf>
    <xf numFmtId="0" fontId="610" fillId="2" borderId="160" xfId="0" applyNumberFormat="1" applyFont="1" applyFill="1" applyBorder="1" applyAlignment="1">
      <alignment horizontal="center" vertical="center"/>
    </xf>
    <xf numFmtId="0" fontId="624" fillId="2" borderId="160" xfId="0" applyNumberFormat="1" applyFont="1" applyFill="1" applyBorder="1" applyAlignment="1">
      <alignment horizontal="center" vertical="center"/>
    </xf>
    <xf numFmtId="0" fontId="687" fillId="2" borderId="160" xfId="0" applyNumberFormat="1" applyFont="1" applyFill="1" applyBorder="1" applyAlignment="1">
      <alignment horizontal="center" vertical="center"/>
    </xf>
    <xf numFmtId="0" fontId="682" fillId="2" borderId="165" xfId="0" applyNumberFormat="1" applyFont="1" applyFill="1" applyBorder="1" applyAlignment="1">
      <alignment horizontal="center" vertical="center"/>
    </xf>
    <xf numFmtId="49" fontId="612" fillId="2" borderId="166" xfId="0" applyNumberFormat="1" applyFont="1" applyFill="1" applyBorder="1" applyAlignment="1">
      <alignment horizontal="left" vertical="center"/>
    </xf>
    <xf numFmtId="1" fontId="657" fillId="2" borderId="166" xfId="0" applyNumberFormat="1" applyFont="1" applyFill="1" applyBorder="1" applyAlignment="1">
      <alignment horizontal="left"/>
    </xf>
    <xf numFmtId="1" fontId="660" fillId="2" borderId="166" xfId="0" applyNumberFormat="1" applyFont="1" applyFill="1" applyBorder="1" applyAlignment="1">
      <alignment horizontal="left" vertical="center"/>
    </xf>
    <xf numFmtId="2" fontId="591" fillId="2" borderId="167" xfId="0" applyNumberFormat="1" applyFont="1" applyFill="1" applyBorder="1" applyAlignment="1">
      <alignment horizontal="center" vertical="center"/>
    </xf>
    <xf numFmtId="49" fontId="154" fillId="11" borderId="161" xfId="0" applyNumberFormat="1" applyFont="1" applyFill="1" applyBorder="1" applyAlignment="1">
      <alignment horizontal="center" vertical="center"/>
    </xf>
    <xf numFmtId="49" fontId="154" fillId="11" borderId="162" xfId="0" applyNumberFormat="1" applyFont="1" applyFill="1" applyBorder="1" applyAlignment="1">
      <alignment horizontal="center" vertical="center"/>
    </xf>
    <xf numFmtId="2" fontId="128" fillId="11" borderId="163" xfId="0" applyNumberFormat="1" applyFont="1" applyFill="1" applyBorder="1" applyAlignment="1">
      <alignment horizontal="left" vertical="center"/>
    </xf>
    <xf numFmtId="2" fontId="588" fillId="2" borderId="164" xfId="0" applyNumberFormat="1" applyFont="1" applyFill="1" applyBorder="1" applyAlignment="1">
      <alignment horizontal="left" vertical="center"/>
    </xf>
    <xf numFmtId="2" fontId="588" fillId="2" borderId="164" xfId="0" applyNumberFormat="1" applyFont="1" applyFill="1" applyBorder="1" applyAlignment="1">
      <alignment horizontal="left"/>
    </xf>
    <xf numFmtId="2" fontId="588" fillId="0" borderId="164" xfId="0" applyNumberFormat="1" applyFont="1" applyBorder="1" applyAlignment="1">
      <alignment horizontal="left"/>
    </xf>
    <xf numFmtId="49" fontId="712" fillId="2" borderId="166" xfId="0" applyNumberFormat="1" applyFont="1" applyFill="1" applyBorder="1" applyAlignment="1">
      <alignment horizontal="left" vertical="center"/>
    </xf>
    <xf numFmtId="1" fontId="713" fillId="2" borderId="166" xfId="0" applyNumberFormat="1" applyFont="1" applyFill="1" applyBorder="1" applyAlignment="1">
      <alignment horizontal="left"/>
    </xf>
    <xf numFmtId="2" fontId="588" fillId="2" borderId="167" xfId="0" applyNumberFormat="1" applyFont="1" applyFill="1" applyBorder="1" applyAlignment="1">
      <alignment horizontal="left" vertical="center"/>
    </xf>
    <xf numFmtId="2" fontId="703" fillId="2" borderId="164" xfId="0" applyNumberFormat="1" applyFont="1" applyFill="1" applyBorder="1" applyAlignment="1">
      <alignment horizontal="center" vertical="center"/>
    </xf>
    <xf numFmtId="2" fontId="704" fillId="2" borderId="164" xfId="0" applyNumberFormat="1" applyFont="1" applyFill="1" applyBorder="1" applyAlignment="1">
      <alignment horizontal="center" vertical="center"/>
    </xf>
    <xf numFmtId="2" fontId="699" fillId="2" borderId="164" xfId="0" applyNumberFormat="1" applyFont="1" applyFill="1" applyBorder="1" applyAlignment="1">
      <alignment horizontal="center" vertical="center"/>
    </xf>
    <xf numFmtId="2" fontId="701" fillId="2" borderId="164" xfId="0" applyNumberFormat="1" applyFont="1" applyFill="1" applyBorder="1" applyAlignment="1">
      <alignment horizontal="center" vertical="center"/>
    </xf>
    <xf numFmtId="2" fontId="705" fillId="2" borderId="164" xfId="0" applyNumberFormat="1" applyFont="1" applyFill="1" applyBorder="1" applyAlignment="1">
      <alignment horizontal="center" vertical="center"/>
    </xf>
    <xf numFmtId="2" fontId="700" fillId="2" borderId="164" xfId="0" applyNumberFormat="1" applyFont="1" applyFill="1" applyBorder="1" applyAlignment="1">
      <alignment horizontal="center" vertical="center"/>
    </xf>
    <xf numFmtId="2" fontId="707" fillId="2" borderId="164" xfId="0" applyNumberFormat="1" applyFont="1" applyFill="1" applyBorder="1" applyAlignment="1">
      <alignment horizontal="center" vertical="center"/>
    </xf>
    <xf numFmtId="2" fontId="240" fillId="2" borderId="164" xfId="0" applyNumberFormat="1" applyFont="1" applyFill="1" applyBorder="1" applyAlignment="1">
      <alignment horizontal="center" vertical="center"/>
    </xf>
    <xf numFmtId="2" fontId="702" fillId="2" borderId="164" xfId="0" applyNumberFormat="1" applyFont="1" applyFill="1" applyBorder="1" applyAlignment="1">
      <alignment horizontal="center" vertical="center"/>
    </xf>
    <xf numFmtId="2" fontId="706" fillId="2" borderId="167" xfId="0" applyNumberFormat="1" applyFont="1" applyFill="1" applyBorder="1" applyAlignment="1">
      <alignment horizontal="center" vertical="center"/>
    </xf>
    <xf numFmtId="0" fontId="709" fillId="0" borderId="8" xfId="0" applyNumberFormat="1" applyFont="1" applyBorder="1" applyAlignment="1">
      <alignment horizontal="center" vertical="center"/>
    </xf>
    <xf numFmtId="0" fontId="711" fillId="0" borderId="8" xfId="0" applyNumberFormat="1" applyFont="1" applyBorder="1" applyAlignment="1">
      <alignment horizontal="center" vertical="center"/>
    </xf>
    <xf numFmtId="0" fontId="714" fillId="0" borderId="8" xfId="0" applyNumberFormat="1" applyFont="1" applyBorder="1" applyAlignment="1">
      <alignment horizontal="center" vertical="center"/>
    </xf>
    <xf numFmtId="49" fontId="675" fillId="11" borderId="162" xfId="0" applyNumberFormat="1" applyFont="1" applyFill="1" applyBorder="1" applyAlignment="1">
      <alignment horizontal="left" vertical="center"/>
    </xf>
    <xf numFmtId="2" fontId="706" fillId="2" borderId="164" xfId="0" applyNumberFormat="1" applyFont="1" applyFill="1" applyBorder="1" applyAlignment="1">
      <alignment horizontal="center" vertical="center"/>
    </xf>
    <xf numFmtId="0" fontId="624" fillId="2" borderId="165" xfId="0" applyNumberFormat="1" applyFont="1" applyFill="1" applyBorder="1" applyAlignment="1">
      <alignment horizontal="center" vertical="center"/>
    </xf>
    <xf numFmtId="49" fontId="613" fillId="2" borderId="166" xfId="0" applyNumberFormat="1" applyFont="1" applyFill="1" applyBorder="1" applyAlignment="1">
      <alignment horizontal="left" vertical="center"/>
    </xf>
    <xf numFmtId="0" fontId="662" fillId="0" borderId="166" xfId="0" applyNumberFormat="1" applyFont="1" applyBorder="1" applyAlignment="1">
      <alignment horizontal="center" vertical="center"/>
    </xf>
    <xf numFmtId="2" fontId="707" fillId="2" borderId="167" xfId="0" applyNumberFormat="1" applyFont="1" applyFill="1" applyBorder="1" applyAlignment="1">
      <alignment horizontal="center" vertical="center"/>
    </xf>
    <xf numFmtId="49" fontId="154" fillId="11" borderId="163" xfId="0" applyNumberFormat="1" applyFont="1" applyFill="1" applyBorder="1" applyAlignment="1">
      <alignment horizontal="center" vertical="center"/>
    </xf>
    <xf numFmtId="0" fontId="676" fillId="2" borderId="160" xfId="0" applyFont="1" applyFill="1" applyBorder="1" applyAlignment="1">
      <alignment horizontal="center" vertical="center"/>
    </xf>
    <xf numFmtId="0" fontId="676" fillId="2" borderId="165" xfId="0" applyFont="1" applyFill="1" applyBorder="1" applyAlignment="1">
      <alignment horizontal="center" vertical="center"/>
    </xf>
    <xf numFmtId="0" fontId="714" fillId="0" borderId="166" xfId="0" applyNumberFormat="1" applyFont="1" applyBorder="1" applyAlignment="1">
      <alignment horizontal="center" vertical="center"/>
    </xf>
    <xf numFmtId="0" fontId="660" fillId="0" borderId="166" xfId="0" applyNumberFormat="1" applyFont="1" applyBorder="1" applyAlignment="1">
      <alignment horizontal="center" vertical="center"/>
    </xf>
    <xf numFmtId="2" fontId="588" fillId="0" borderId="164" xfId="0" applyNumberFormat="1" applyFont="1" applyBorder="1" applyAlignment="1">
      <alignment horizontal="center"/>
    </xf>
    <xf numFmtId="2" fontId="588" fillId="0" borderId="167" xfId="0" applyNumberFormat="1" applyFont="1" applyBorder="1" applyAlignment="1">
      <alignment horizontal="center"/>
    </xf>
    <xf numFmtId="49" fontId="216" fillId="2" borderId="8" xfId="0" applyNumberFormat="1" applyFont="1" applyFill="1" applyBorder="1" applyAlignment="1">
      <alignment horizontal="center" vertical="center"/>
    </xf>
    <xf numFmtId="49" fontId="716" fillId="2" borderId="8" xfId="0" applyNumberFormat="1" applyFont="1" applyFill="1" applyBorder="1" applyAlignment="1">
      <alignment horizontal="center"/>
    </xf>
    <xf numFmtId="49" fontId="717" fillId="2" borderId="8" xfId="0" applyNumberFormat="1" applyFont="1" applyFill="1" applyBorder="1" applyAlignment="1">
      <alignment horizontal="left" vertical="center"/>
    </xf>
    <xf numFmtId="1" fontId="718" fillId="2" borderId="8" xfId="0" applyNumberFormat="1" applyFont="1" applyFill="1" applyBorder="1" applyAlignment="1">
      <alignment horizontal="left"/>
    </xf>
    <xf numFmtId="49" fontId="719" fillId="2" borderId="8" xfId="0" applyNumberFormat="1" applyFont="1" applyFill="1" applyBorder="1" applyAlignment="1">
      <alignment horizontal="left" vertical="center"/>
    </xf>
    <xf numFmtId="1" fontId="720" fillId="2" borderId="8" xfId="0" applyNumberFormat="1" applyFont="1" applyFill="1" applyBorder="1" applyAlignment="1">
      <alignment horizontal="left"/>
    </xf>
    <xf numFmtId="49" fontId="128" fillId="11" borderId="162" xfId="0" applyNumberFormat="1" applyFont="1" applyFill="1" applyBorder="1" applyAlignment="1">
      <alignment vertical="center"/>
    </xf>
    <xf numFmtId="0" fontId="128" fillId="11" borderId="162" xfId="0" applyFont="1" applyFill="1" applyBorder="1" applyAlignment="1">
      <alignment vertical="center"/>
    </xf>
    <xf numFmtId="2" fontId="677" fillId="2" borderId="164" xfId="0" applyNumberFormat="1" applyFont="1" applyFill="1" applyBorder="1" applyAlignment="1">
      <alignment horizontal="center" vertical="center"/>
    </xf>
    <xf numFmtId="2" fontId="721" fillId="2" borderId="164" xfId="0" applyNumberFormat="1" applyFont="1" applyFill="1" applyBorder="1" applyAlignment="1">
      <alignment horizontal="center" vertical="center"/>
    </xf>
    <xf numFmtId="2" fontId="678" fillId="2" borderId="164" xfId="0" applyNumberFormat="1" applyFont="1" applyFill="1" applyBorder="1" applyAlignment="1">
      <alignment horizontal="center" vertical="center"/>
    </xf>
    <xf numFmtId="49" fontId="14" fillId="0" borderId="166" xfId="0" applyNumberFormat="1" applyFont="1" applyBorder="1" applyAlignment="1">
      <alignment horizontal="center"/>
    </xf>
    <xf numFmtId="49" fontId="607" fillId="2" borderId="166" xfId="0" applyNumberFormat="1" applyFont="1" applyFill="1" applyBorder="1" applyAlignment="1">
      <alignment horizontal="left" vertical="center"/>
    </xf>
    <xf numFmtId="1" fontId="653" fillId="2" borderId="166" xfId="0" applyNumberFormat="1" applyFont="1" applyFill="1" applyBorder="1" applyAlignment="1">
      <alignment horizontal="left"/>
    </xf>
    <xf numFmtId="2" fontId="677" fillId="2" borderId="167" xfId="0" applyNumberFormat="1" applyFont="1" applyFill="1" applyBorder="1" applyAlignment="1">
      <alignment horizontal="center" vertical="center"/>
    </xf>
    <xf numFmtId="0" fontId="670" fillId="2" borderId="160" xfId="0" applyNumberFormat="1" applyFont="1" applyFill="1" applyBorder="1" applyAlignment="1">
      <alignment horizontal="center" vertical="center"/>
    </xf>
    <xf numFmtId="0" fontId="715" fillId="2" borderId="160" xfId="0" applyNumberFormat="1" applyFont="1" applyFill="1" applyBorder="1" applyAlignment="1">
      <alignment horizontal="center" vertical="center"/>
    </xf>
    <xf numFmtId="0" fontId="668" fillId="2" borderId="160" xfId="0" applyNumberFormat="1" applyFont="1" applyFill="1" applyBorder="1" applyAlignment="1">
      <alignment horizontal="center" vertical="center"/>
    </xf>
    <xf numFmtId="0" fontId="628" fillId="2" borderId="160" xfId="0" applyNumberFormat="1" applyFont="1" applyFill="1" applyBorder="1" applyAlignment="1">
      <alignment horizontal="center" vertical="center"/>
    </xf>
    <xf numFmtId="0" fontId="671" fillId="2" borderId="160" xfId="0" applyNumberFormat="1" applyFont="1" applyFill="1" applyBorder="1" applyAlignment="1">
      <alignment horizontal="center" vertical="center"/>
    </xf>
    <xf numFmtId="0" fontId="669" fillId="2" borderId="160" xfId="0" applyNumberFormat="1" applyFont="1" applyFill="1" applyBorder="1" applyAlignment="1">
      <alignment horizontal="center" vertical="center"/>
    </xf>
    <xf numFmtId="0" fontId="667" fillId="2" borderId="165" xfId="0" applyNumberFormat="1" applyFont="1" applyFill="1" applyBorder="1" applyAlignment="1">
      <alignment horizontal="center" vertical="center"/>
    </xf>
    <xf numFmtId="49" fontId="86" fillId="2" borderId="191" xfId="0" applyNumberFormat="1" applyFont="1" applyFill="1" applyBorder="1" applyAlignment="1">
      <alignment horizontal="center" vertical="center"/>
    </xf>
    <xf numFmtId="2" fontId="37" fillId="2" borderId="191" xfId="0" applyNumberFormat="1" applyFont="1" applyFill="1" applyBorder="1" applyAlignment="1">
      <alignment horizontal="center" vertical="center"/>
    </xf>
    <xf numFmtId="49" fontId="14" fillId="2" borderId="192" xfId="0" applyNumberFormat="1" applyFont="1" applyFill="1" applyBorder="1" applyAlignment="1">
      <alignment horizontal="center" vertical="center"/>
    </xf>
    <xf numFmtId="2" fontId="16" fillId="2" borderId="193" xfId="0" applyNumberFormat="1" applyFont="1" applyFill="1" applyBorder="1" applyAlignment="1">
      <alignment horizontal="center" vertical="center"/>
    </xf>
    <xf numFmtId="2" fontId="16" fillId="2" borderId="194" xfId="0" applyNumberFormat="1" applyFont="1" applyFill="1" applyBorder="1" applyAlignment="1">
      <alignment horizontal="center" vertical="center"/>
    </xf>
    <xf numFmtId="0" fontId="722" fillId="0" borderId="8" xfId="0" applyFont="1" applyBorder="1" applyAlignment="1"/>
    <xf numFmtId="0" fontId="723" fillId="0" borderId="8" xfId="0" applyFont="1" applyBorder="1" applyAlignment="1">
      <alignment vertical="top"/>
    </xf>
    <xf numFmtId="0" fontId="726" fillId="2" borderId="109" xfId="0" applyFont="1" applyFill="1" applyBorder="1" applyAlignment="1">
      <alignment horizontal="center" vertical="center"/>
    </xf>
    <xf numFmtId="0" fontId="608" fillId="2" borderId="124" xfId="0" applyFont="1" applyFill="1" applyBorder="1" applyAlignment="1">
      <alignment horizontal="center" vertical="center"/>
    </xf>
    <xf numFmtId="49" fontId="728" fillId="2" borderId="59" xfId="0" applyNumberFormat="1" applyFont="1" applyFill="1" applyBorder="1" applyAlignment="1">
      <alignment horizontal="center" vertical="center"/>
    </xf>
    <xf numFmtId="0" fontId="625" fillId="2" borderId="98" xfId="0" applyFont="1" applyFill="1" applyBorder="1" applyAlignment="1">
      <alignment horizontal="center" vertical="center"/>
    </xf>
    <xf numFmtId="0" fontId="625" fillId="2" borderId="183" xfId="0" applyFont="1" applyFill="1" applyBorder="1" applyAlignment="1">
      <alignment horizontal="center" vertical="center"/>
    </xf>
    <xf numFmtId="0" fontId="272" fillId="2" borderId="171" xfId="0" applyFont="1" applyFill="1" applyBorder="1" applyAlignment="1">
      <alignment horizontal="center" vertical="center"/>
    </xf>
    <xf numFmtId="2" fontId="588" fillId="0" borderId="171" xfId="0" applyNumberFormat="1" applyFont="1" applyBorder="1" applyAlignment="1">
      <alignment horizontal="center" vertical="center"/>
    </xf>
    <xf numFmtId="0" fontId="479" fillId="2" borderId="171" xfId="0" applyFont="1" applyFill="1" applyBorder="1" applyAlignment="1">
      <alignment horizontal="center" vertical="center"/>
    </xf>
    <xf numFmtId="0" fontId="625" fillId="0" borderId="197" xfId="0" applyFont="1" applyBorder="1" applyAlignment="1">
      <alignment horizontal="center" vertical="center"/>
    </xf>
    <xf numFmtId="0" fontId="625" fillId="0" borderId="179" xfId="0" applyNumberFormat="1" applyFont="1" applyBorder="1" applyAlignment="1">
      <alignment horizontal="center" vertical="center"/>
    </xf>
    <xf numFmtId="0" fontId="625" fillId="0" borderId="179" xfId="0" applyFont="1" applyBorder="1" applyAlignment="1">
      <alignment horizontal="center" vertical="center"/>
    </xf>
    <xf numFmtId="2" fontId="245" fillId="0" borderId="98" xfId="0" applyNumberFormat="1" applyFont="1" applyBorder="1" applyAlignment="1">
      <alignment horizontal="center" vertical="center"/>
    </xf>
    <xf numFmtId="2" fontId="245" fillId="2" borderId="196" xfId="0" applyNumberFormat="1" applyFont="1" applyFill="1" applyBorder="1" applyAlignment="1">
      <alignment horizontal="center" vertical="center"/>
    </xf>
    <xf numFmtId="2" fontId="193" fillId="2" borderId="171" xfId="0" applyNumberFormat="1" applyFont="1" applyFill="1" applyBorder="1" applyAlignment="1">
      <alignment horizontal="center" vertical="center"/>
    </xf>
    <xf numFmtId="0" fontId="164" fillId="2" borderId="198" xfId="0" applyFont="1" applyFill="1" applyBorder="1" applyAlignment="1">
      <alignment horizontal="center" vertical="center"/>
    </xf>
    <xf numFmtId="0" fontId="164" fillId="2" borderId="199" xfId="0" applyFont="1" applyFill="1" applyBorder="1" applyAlignment="1">
      <alignment horizontal="center" vertical="center"/>
    </xf>
    <xf numFmtId="2" fontId="193" fillId="2" borderId="200" xfId="0" applyNumberFormat="1" applyFont="1" applyFill="1" applyBorder="1" applyAlignment="1">
      <alignment horizontal="center" vertical="center"/>
    </xf>
    <xf numFmtId="2" fontId="245" fillId="2" borderId="200" xfId="0" applyNumberFormat="1" applyFont="1" applyFill="1" applyBorder="1" applyAlignment="1">
      <alignment horizontal="center" vertical="center"/>
    </xf>
    <xf numFmtId="0" fontId="625" fillId="0" borderId="195" xfId="0" applyFont="1" applyBorder="1" applyAlignment="1">
      <alignment horizontal="center" vertical="center"/>
    </xf>
    <xf numFmtId="0" fontId="731" fillId="2" borderId="196" xfId="0" applyFont="1" applyFill="1" applyBorder="1" applyAlignment="1">
      <alignment vertical="center"/>
    </xf>
    <xf numFmtId="2" fontId="193" fillId="2" borderId="196" xfId="0" applyNumberFormat="1" applyFont="1" applyFill="1" applyBorder="1" applyAlignment="1">
      <alignment horizontal="center" vertical="center"/>
    </xf>
    <xf numFmtId="0" fontId="731" fillId="2" borderId="171" xfId="0" applyFont="1" applyFill="1" applyBorder="1" applyAlignment="1">
      <alignment vertical="center"/>
    </xf>
    <xf numFmtId="0" fontId="731" fillId="0" borderId="171" xfId="0" applyFont="1" applyBorder="1" applyAlignment="1">
      <alignment vertical="center"/>
    </xf>
    <xf numFmtId="49" fontId="439" fillId="4" borderId="161" xfId="0" applyNumberFormat="1" applyFont="1" applyFill="1" applyBorder="1" applyAlignment="1">
      <alignment horizontal="center" vertical="center"/>
    </xf>
    <xf numFmtId="49" fontId="154" fillId="4" borderId="162" xfId="0" applyNumberFormat="1" applyFont="1" applyFill="1" applyBorder="1" applyAlignment="1">
      <alignment vertical="center"/>
    </xf>
    <xf numFmtId="0" fontId="154" fillId="4" borderId="162" xfId="0" applyFont="1" applyFill="1" applyBorder="1" applyAlignment="1">
      <alignment vertical="center"/>
    </xf>
    <xf numFmtId="49" fontId="154" fillId="4" borderId="162" xfId="0" applyNumberFormat="1" applyFont="1" applyFill="1" applyBorder="1" applyAlignment="1">
      <alignment horizontal="center" vertical="center"/>
    </xf>
    <xf numFmtId="49" fontId="227" fillId="4" borderId="163" xfId="0" applyNumberFormat="1" applyFont="1" applyFill="1" applyBorder="1" applyAlignment="1">
      <alignment horizontal="center" vertical="center"/>
    </xf>
    <xf numFmtId="0" fontId="164" fillId="2" borderId="201" xfId="0" applyFont="1" applyFill="1" applyBorder="1" applyAlignment="1">
      <alignment horizontal="center" vertical="center"/>
    </xf>
    <xf numFmtId="0" fontId="731" fillId="0" borderId="200" xfId="0" applyFont="1" applyBorder="1" applyAlignment="1"/>
    <xf numFmtId="0" fontId="163" fillId="2" borderId="8" xfId="0" applyFont="1" applyFill="1" applyBorder="1" applyAlignment="1">
      <alignment horizontal="center" vertical="center"/>
    </xf>
    <xf numFmtId="186" fontId="605" fillId="10" borderId="0" xfId="0" applyNumberFormat="1" applyFont="1" applyFill="1" applyAlignment="1">
      <alignment horizontal="center" vertical="center"/>
    </xf>
    <xf numFmtId="185" fontId="598" fillId="10" borderId="0" xfId="0" applyNumberFormat="1" applyFont="1" applyFill="1" applyAlignment="1">
      <alignment horizontal="center" vertical="center"/>
    </xf>
    <xf numFmtId="185" fontId="600" fillId="10" borderId="0" xfId="0" applyNumberFormat="1" applyFont="1" applyFill="1" applyAlignment="1">
      <alignment horizontal="center" vertical="center"/>
    </xf>
    <xf numFmtId="185" fontId="644" fillId="10" borderId="0" xfId="0" applyNumberFormat="1" applyFont="1" applyFill="1" applyAlignment="1">
      <alignment horizontal="center" vertical="center"/>
    </xf>
    <xf numFmtId="211" fontId="625" fillId="0" borderId="0" xfId="0" applyNumberFormat="1" applyFont="1" applyAlignment="1">
      <alignment horizontal="center" vertical="center"/>
    </xf>
    <xf numFmtId="211" fontId="609" fillId="0" borderId="0" xfId="0" applyNumberFormat="1" applyFont="1" applyAlignment="1">
      <alignment horizontal="center" vertical="center"/>
    </xf>
    <xf numFmtId="211" fontId="610" fillId="0" borderId="0" xfId="0" applyNumberFormat="1" applyFont="1" applyAlignment="1">
      <alignment horizontal="center" vertical="center"/>
    </xf>
    <xf numFmtId="211" fontId="646" fillId="0" borderId="0" xfId="0" applyNumberFormat="1" applyFont="1" applyAlignment="1">
      <alignment horizontal="center" vertical="center"/>
    </xf>
    <xf numFmtId="211" fontId="682" fillId="0" borderId="0" xfId="0" applyNumberFormat="1" applyFont="1" applyAlignment="1">
      <alignment horizontal="center" vertical="center"/>
    </xf>
    <xf numFmtId="211" fontId="624" fillId="0" borderId="0" xfId="0" applyNumberFormat="1" applyFont="1" applyAlignment="1">
      <alignment horizontal="center" vertical="center"/>
    </xf>
    <xf numFmtId="211" fontId="651" fillId="0" borderId="0" xfId="0" applyNumberFormat="1" applyFont="1" applyAlignment="1">
      <alignment horizontal="center" vertical="center"/>
    </xf>
    <xf numFmtId="211" fontId="623" fillId="0" borderId="0" xfId="0" applyNumberFormat="1" applyFont="1" applyAlignment="1">
      <alignment horizontal="center" vertical="center"/>
    </xf>
    <xf numFmtId="211" fontId="288" fillId="0" borderId="0" xfId="0" applyNumberFormat="1" applyFont="1" applyAlignment="1">
      <alignment horizontal="center" vertical="center"/>
    </xf>
    <xf numFmtId="211" fontId="633" fillId="0" borderId="0" xfId="0" applyNumberFormat="1" applyFont="1" applyAlignment="1">
      <alignment horizontal="center" vertical="center"/>
    </xf>
    <xf numFmtId="212" fontId="625" fillId="0" borderId="0" xfId="0" applyNumberFormat="1" applyFont="1" applyAlignment="1">
      <alignment horizontal="center" vertical="center"/>
    </xf>
    <xf numFmtId="212" fontId="596" fillId="10" borderId="0" xfId="0" applyNumberFormat="1" applyFont="1" applyFill="1" applyAlignment="1">
      <alignment horizontal="center" vertical="center"/>
    </xf>
    <xf numFmtId="1" fontId="588" fillId="2" borderId="8" xfId="0" applyNumberFormat="1" applyFont="1" applyFill="1" applyBorder="1" applyAlignment="1">
      <alignment horizontal="center" vertical="center"/>
    </xf>
    <xf numFmtId="1" fontId="604" fillId="2" borderId="8" xfId="0" applyNumberFormat="1" applyFont="1" applyFill="1" applyBorder="1" applyAlignment="1">
      <alignment horizontal="center" vertical="center"/>
    </xf>
    <xf numFmtId="1" fontId="592" fillId="2" borderId="8" xfId="0" applyNumberFormat="1" applyFont="1" applyFill="1" applyBorder="1" applyAlignment="1">
      <alignment horizontal="center" vertical="center"/>
    </xf>
    <xf numFmtId="1" fontId="622" fillId="2" borderId="8" xfId="0" applyNumberFormat="1" applyFont="1" applyFill="1" applyBorder="1" applyAlignment="1">
      <alignment horizontal="center" vertical="center"/>
    </xf>
    <xf numFmtId="1" fontId="595" fillId="2" borderId="8" xfId="0" applyNumberFormat="1" applyFont="1" applyFill="1" applyBorder="1" applyAlignment="1">
      <alignment horizontal="center" vertical="center"/>
    </xf>
    <xf numFmtId="200" fontId="211" fillId="2" borderId="8" xfId="0" applyNumberFormat="1" applyFont="1" applyFill="1" applyBorder="1" applyAlignment="1">
      <alignment horizontal="center" vertical="center"/>
    </xf>
    <xf numFmtId="213" fontId="362" fillId="2" borderId="8" xfId="0" applyNumberFormat="1" applyFont="1" applyFill="1" applyBorder="1" applyAlignment="1">
      <alignment horizontal="center" vertical="center"/>
    </xf>
    <xf numFmtId="190" fontId="605" fillId="2" borderId="8" xfId="0" applyNumberFormat="1" applyFont="1" applyFill="1" applyBorder="1" applyAlignment="1">
      <alignment horizontal="center" vertical="center"/>
    </xf>
    <xf numFmtId="200" fontId="394" fillId="2" borderId="8" xfId="0" applyNumberFormat="1" applyFont="1" applyFill="1" applyBorder="1" applyAlignment="1">
      <alignment horizontal="center" vertical="center"/>
    </xf>
    <xf numFmtId="192" fontId="372" fillId="2" borderId="8" xfId="0" applyNumberFormat="1" applyFont="1" applyFill="1" applyBorder="1" applyAlignment="1">
      <alignment horizontal="center" vertical="center"/>
    </xf>
    <xf numFmtId="193" fontId="449" fillId="2" borderId="8" xfId="0" applyNumberFormat="1" applyFont="1" applyFill="1" applyBorder="1" applyAlignment="1">
      <alignment horizontal="center" vertical="center"/>
    </xf>
    <xf numFmtId="202" fontId="383" fillId="2" borderId="8" xfId="0" applyNumberFormat="1" applyFont="1" applyFill="1" applyBorder="1" applyAlignment="1">
      <alignment horizontal="center" vertical="center"/>
    </xf>
    <xf numFmtId="192" fontId="367" fillId="2" borderId="8" xfId="0" applyNumberFormat="1" applyFont="1" applyFill="1" applyBorder="1" applyAlignment="1">
      <alignment horizontal="center" vertical="center"/>
    </xf>
    <xf numFmtId="202" fontId="601" fillId="2" borderId="8" xfId="0" applyNumberFormat="1" applyFont="1" applyFill="1" applyBorder="1" applyAlignment="1">
      <alignment horizontal="center" vertical="center"/>
    </xf>
    <xf numFmtId="172" fontId="450" fillId="2" borderId="8" xfId="0" applyNumberFormat="1" applyFont="1" applyFill="1" applyBorder="1" applyAlignment="1">
      <alignment horizontal="center" vertical="center"/>
    </xf>
    <xf numFmtId="214" fontId="596" fillId="2" borderId="8" xfId="0" applyNumberFormat="1" applyFont="1" applyFill="1" applyBorder="1" applyAlignment="1">
      <alignment horizontal="center" vertical="center"/>
    </xf>
    <xf numFmtId="194" fontId="597" fillId="2" borderId="8" xfId="0" applyNumberFormat="1" applyFont="1" applyFill="1" applyBorder="1" applyAlignment="1">
      <alignment horizontal="center" vertical="center"/>
    </xf>
    <xf numFmtId="195" fontId="605" fillId="2" borderId="8" xfId="0" applyNumberFormat="1" applyFont="1" applyFill="1" applyBorder="1" applyAlignment="1">
      <alignment horizontal="center" vertical="center"/>
    </xf>
    <xf numFmtId="214" fontId="643" fillId="2" borderId="8" xfId="0" applyNumberFormat="1" applyFont="1" applyFill="1" applyBorder="1" applyAlignment="1">
      <alignment horizontal="center" vertical="center"/>
    </xf>
    <xf numFmtId="209" fontId="598" fillId="2" borderId="8" xfId="0" applyNumberFormat="1" applyFont="1" applyFill="1" applyBorder="1" applyAlignment="1">
      <alignment horizontal="center" vertical="center"/>
    </xf>
    <xf numFmtId="195" fontId="599" fillId="2" borderId="8" xfId="0" applyNumberFormat="1" applyFont="1" applyFill="1" applyBorder="1" applyAlignment="1">
      <alignment horizontal="center" vertical="center"/>
    </xf>
    <xf numFmtId="209" fontId="383" fillId="2" borderId="8" xfId="0" applyNumberFormat="1" applyFont="1" applyFill="1" applyBorder="1" applyAlignment="1">
      <alignment horizontal="center" vertical="center"/>
    </xf>
    <xf numFmtId="209" fontId="644" fillId="2" borderId="8" xfId="0" applyNumberFormat="1" applyFont="1" applyFill="1" applyBorder="1" applyAlignment="1">
      <alignment horizontal="center" vertical="center"/>
    </xf>
    <xf numFmtId="198" fontId="601" fillId="2" borderId="8" xfId="0" applyNumberFormat="1" applyFont="1" applyFill="1" applyBorder="1" applyAlignment="1">
      <alignment horizontal="center" vertical="center"/>
    </xf>
    <xf numFmtId="195" fontId="602" fillId="2" borderId="8" xfId="0" applyNumberFormat="1" applyFont="1" applyFill="1" applyBorder="1" applyAlignment="1">
      <alignment horizontal="center" vertical="center"/>
    </xf>
    <xf numFmtId="1" fontId="172" fillId="2" borderId="11" xfId="0" applyNumberFormat="1" applyFont="1" applyFill="1" applyBorder="1" applyAlignment="1">
      <alignment horizontal="center" vertical="center"/>
    </xf>
    <xf numFmtId="0" fontId="352" fillId="2" borderId="9" xfId="0" applyNumberFormat="1" applyFont="1" applyFill="1" applyBorder="1" applyAlignment="1">
      <alignment horizontal="center" vertical="center"/>
    </xf>
    <xf numFmtId="0" fontId="385" fillId="2" borderId="12" xfId="0" applyNumberFormat="1" applyFont="1" applyFill="1" applyBorder="1" applyAlignment="1">
      <alignment horizontal="center" vertical="center"/>
    </xf>
    <xf numFmtId="0" fontId="155" fillId="2" borderId="11" xfId="0" applyFont="1" applyFill="1" applyBorder="1" applyAlignment="1">
      <alignment horizontal="center" vertical="center"/>
    </xf>
    <xf numFmtId="2" fontId="155" fillId="2" borderId="11" xfId="0" applyNumberFormat="1" applyFont="1" applyFill="1" applyBorder="1" applyAlignment="1">
      <alignment horizontal="center" vertical="center"/>
    </xf>
    <xf numFmtId="0" fontId="269" fillId="2" borderId="12" xfId="0" applyNumberFormat="1" applyFont="1" applyFill="1" applyBorder="1" applyAlignment="1">
      <alignment horizontal="center" vertical="center"/>
    </xf>
    <xf numFmtId="179" fontId="172" fillId="2" borderId="8" xfId="0" applyNumberFormat="1" applyFont="1" applyFill="1" applyBorder="1" applyAlignment="1">
      <alignment horizontal="center" vertical="center"/>
    </xf>
    <xf numFmtId="179" fontId="155" fillId="2" borderId="11" xfId="0" applyNumberFormat="1" applyFont="1" applyFill="1" applyBorder="1" applyAlignment="1">
      <alignment horizontal="center" vertical="center"/>
    </xf>
    <xf numFmtId="200" fontId="110" fillId="2" borderId="8" xfId="0" applyNumberFormat="1" applyFont="1" applyFill="1" applyBorder="1" applyAlignment="1">
      <alignment horizontal="center" vertical="center"/>
    </xf>
    <xf numFmtId="213" fontId="176" fillId="2" borderId="8" xfId="0" applyNumberFormat="1" applyFont="1" applyFill="1" applyBorder="1" applyAlignment="1">
      <alignment horizontal="center" vertical="center"/>
    </xf>
    <xf numFmtId="200" fontId="169" fillId="2" borderId="8" xfId="0" applyNumberFormat="1" applyFont="1" applyFill="1" applyBorder="1" applyAlignment="1">
      <alignment horizontal="center" vertical="center"/>
    </xf>
    <xf numFmtId="192" fontId="16" fillId="2" borderId="8" xfId="0" applyNumberFormat="1" applyFont="1" applyFill="1" applyBorder="1" applyAlignment="1">
      <alignment horizontal="center" vertical="center"/>
    </xf>
    <xf numFmtId="193" fontId="155" fillId="2" borderId="8" xfId="0" applyNumberFormat="1" applyFont="1" applyFill="1" applyBorder="1" applyAlignment="1">
      <alignment horizontal="center" vertical="center"/>
    </xf>
    <xf numFmtId="192" fontId="294" fillId="2" borderId="8" xfId="0" applyNumberFormat="1" applyFont="1" applyFill="1" applyBorder="1" applyAlignment="1">
      <alignment horizontal="center" vertical="center"/>
    </xf>
    <xf numFmtId="202" fontId="163" fillId="2" borderId="8" xfId="0" applyNumberFormat="1" applyFont="1" applyFill="1" applyBorder="1" applyAlignment="1">
      <alignment horizontal="center" vertical="center"/>
    </xf>
    <xf numFmtId="214" fontId="110" fillId="2" borderId="8" xfId="0" applyNumberFormat="1" applyFont="1" applyFill="1" applyBorder="1" applyAlignment="1">
      <alignment horizontal="center" vertical="center"/>
    </xf>
    <xf numFmtId="209" fontId="16" fillId="2" borderId="8" xfId="0" applyNumberFormat="1" applyFont="1" applyFill="1" applyBorder="1" applyAlignment="1">
      <alignment horizontal="center" vertical="center"/>
    </xf>
    <xf numFmtId="195" fontId="155" fillId="2" borderId="8" xfId="0" applyNumberFormat="1" applyFont="1" applyFill="1" applyBorder="1" applyAlignment="1">
      <alignment horizontal="center" vertical="center"/>
    </xf>
    <xf numFmtId="209" fontId="150" fillId="2" borderId="8" xfId="0" applyNumberFormat="1" applyFont="1" applyFill="1" applyBorder="1" applyAlignment="1">
      <alignment horizontal="center" vertical="center"/>
    </xf>
    <xf numFmtId="209" fontId="294" fillId="2" borderId="8" xfId="0" applyNumberFormat="1" applyFont="1" applyFill="1" applyBorder="1" applyAlignment="1">
      <alignment horizontal="center" vertical="center"/>
    </xf>
    <xf numFmtId="202" fontId="150" fillId="2" borderId="8" xfId="0" applyNumberFormat="1" applyFont="1" applyFill="1" applyBorder="1" applyAlignment="1">
      <alignment horizontal="center" vertical="center"/>
    </xf>
    <xf numFmtId="190" fontId="172" fillId="2" borderId="11" xfId="0" applyNumberFormat="1" applyFont="1" applyFill="1" applyBorder="1" applyAlignment="1">
      <alignment horizontal="center" vertical="center"/>
    </xf>
    <xf numFmtId="195" fontId="172" fillId="2" borderId="8" xfId="0" applyNumberFormat="1" applyFont="1" applyFill="1" applyBorder="1" applyAlignment="1">
      <alignment horizontal="center" vertical="center"/>
    </xf>
    <xf numFmtId="214" fontId="169" fillId="2" borderId="11" xfId="0" applyNumberFormat="1" applyFont="1" applyFill="1" applyBorder="1" applyAlignment="1">
      <alignment horizontal="center" vertical="center"/>
    </xf>
    <xf numFmtId="0" fontId="274" fillId="2" borderId="165" xfId="0" applyNumberFormat="1" applyFont="1" applyFill="1" applyBorder="1" applyAlignment="1">
      <alignment horizontal="center" vertical="center"/>
    </xf>
    <xf numFmtId="49" fontId="149" fillId="2" borderId="166" xfId="0" applyNumberFormat="1" applyFont="1" applyFill="1" applyBorder="1" applyAlignment="1">
      <alignment horizontal="left" vertical="center"/>
    </xf>
    <xf numFmtId="0" fontId="150" fillId="2" borderId="166" xfId="0" applyNumberFormat="1" applyFont="1" applyFill="1" applyBorder="1" applyAlignment="1">
      <alignment horizontal="center" vertical="center"/>
    </xf>
    <xf numFmtId="2" fontId="150" fillId="2" borderId="167" xfId="0" applyNumberFormat="1" applyFont="1" applyFill="1" applyBorder="1" applyAlignment="1">
      <alignment horizontal="center" vertical="center"/>
    </xf>
    <xf numFmtId="0" fontId="163" fillId="0" borderId="8" xfId="0" applyFont="1" applyFill="1" applyBorder="1" applyAlignment="1">
      <alignment horizontal="center" vertical="center"/>
    </xf>
    <xf numFmtId="2" fontId="163" fillId="0" borderId="8" xfId="0" applyNumberFormat="1" applyFont="1" applyFill="1" applyBorder="1" applyAlignment="1">
      <alignment horizontal="center" vertical="center"/>
    </xf>
    <xf numFmtId="0" fontId="377" fillId="0" borderId="164" xfId="0" applyFont="1" applyFill="1" applyBorder="1" applyAlignment="1">
      <alignment horizontal="center" vertical="center"/>
    </xf>
    <xf numFmtId="0" fontId="733" fillId="0" borderId="8" xfId="0" applyFont="1" applyFill="1" applyBorder="1" applyAlignment="1">
      <alignment horizontal="center" vertical="center"/>
    </xf>
    <xf numFmtId="2" fontId="733" fillId="0" borderId="8" xfId="0" applyNumberFormat="1" applyFont="1" applyFill="1" applyBorder="1" applyAlignment="1">
      <alignment horizontal="center" vertical="center"/>
    </xf>
    <xf numFmtId="0" fontId="734" fillId="0" borderId="164" xfId="0" applyFont="1" applyFill="1" applyBorder="1" applyAlignment="1">
      <alignment horizontal="center" vertical="center"/>
    </xf>
    <xf numFmtId="0" fontId="591" fillId="0" borderId="8" xfId="0" applyFont="1" applyFill="1" applyBorder="1" applyAlignment="1">
      <alignment horizontal="center" vertical="center"/>
    </xf>
    <xf numFmtId="2" fontId="591" fillId="0" borderId="8" xfId="0" applyNumberFormat="1" applyFont="1" applyFill="1" applyBorder="1" applyAlignment="1">
      <alignment horizontal="center" vertical="center"/>
    </xf>
    <xf numFmtId="0" fontId="667" fillId="0" borderId="164" xfId="0" applyFont="1" applyFill="1" applyBorder="1" applyAlignment="1">
      <alignment horizontal="center" vertical="center"/>
    </xf>
    <xf numFmtId="0" fontId="735" fillId="14" borderId="161" xfId="0" applyFont="1" applyFill="1" applyBorder="1" applyAlignment="1">
      <alignment horizontal="center" vertical="center"/>
    </xf>
    <xf numFmtId="0" fontId="735" fillId="14" borderId="162" xfId="0" applyFont="1" applyFill="1" applyBorder="1" applyAlignment="1">
      <alignment horizontal="center" vertical="center"/>
    </xf>
    <xf numFmtId="0" fontId="735" fillId="14" borderId="163" xfId="0" applyFont="1" applyFill="1" applyBorder="1" applyAlignment="1">
      <alignment horizontal="center" vertical="center"/>
    </xf>
    <xf numFmtId="49" fontId="612" fillId="0" borderId="160" xfId="0" applyNumberFormat="1" applyFont="1" applyFill="1" applyBorder="1" applyAlignment="1">
      <alignment horizontal="center" vertical="center"/>
    </xf>
    <xf numFmtId="49" fontId="171" fillId="0" borderId="160" xfId="0" applyNumberFormat="1" applyFont="1" applyFill="1" applyBorder="1" applyAlignment="1">
      <alignment horizontal="center" vertical="center"/>
    </xf>
    <xf numFmtId="49" fontId="712" fillId="0" borderId="160" xfId="0" applyNumberFormat="1" applyFont="1" applyFill="1" applyBorder="1" applyAlignment="1">
      <alignment horizontal="center" vertical="center"/>
    </xf>
    <xf numFmtId="49" fontId="732" fillId="0" borderId="160" xfId="0" applyNumberFormat="1" applyFont="1" applyFill="1" applyBorder="1" applyAlignment="1">
      <alignment horizontal="center" vertical="center"/>
    </xf>
    <xf numFmtId="49" fontId="616" fillId="0" borderId="160" xfId="0" applyNumberFormat="1" applyFont="1" applyFill="1" applyBorder="1" applyAlignment="1">
      <alignment horizontal="center" vertical="center"/>
    </xf>
    <xf numFmtId="49" fontId="608" fillId="0" borderId="160" xfId="0" applyNumberFormat="1" applyFont="1" applyFill="1" applyBorder="1" applyAlignment="1">
      <alignment horizontal="center" vertical="center"/>
    </xf>
    <xf numFmtId="49" fontId="162" fillId="0" borderId="160" xfId="0" applyNumberFormat="1" applyFont="1" applyFill="1" applyBorder="1" applyAlignment="1">
      <alignment horizontal="center" vertical="center"/>
    </xf>
    <xf numFmtId="49" fontId="698" fillId="0" borderId="160" xfId="0" applyNumberFormat="1" applyFont="1" applyFill="1" applyBorder="1" applyAlignment="1">
      <alignment horizontal="center" vertical="center"/>
    </xf>
    <xf numFmtId="49" fontId="141" fillId="0" borderId="160" xfId="0" applyNumberFormat="1" applyFont="1" applyFill="1" applyBorder="1" applyAlignment="1">
      <alignment horizontal="center" vertical="center"/>
    </xf>
    <xf numFmtId="49" fontId="149" fillId="0" borderId="165" xfId="0" applyNumberFormat="1" applyFont="1" applyFill="1" applyBorder="1" applyAlignment="1">
      <alignment horizontal="center" vertical="center"/>
    </xf>
    <xf numFmtId="0" fontId="604" fillId="0" borderId="8" xfId="0" applyFont="1" applyFill="1" applyBorder="1" applyAlignment="1">
      <alignment horizontal="center" vertical="center"/>
    </xf>
    <xf numFmtId="2" fontId="604" fillId="0" borderId="8" xfId="0" applyNumberFormat="1" applyFont="1" applyFill="1" applyBorder="1" applyAlignment="1">
      <alignment horizontal="center" vertical="center"/>
    </xf>
    <xf numFmtId="0" fontId="628" fillId="0" borderId="164" xfId="0" applyFont="1" applyFill="1" applyBorder="1" applyAlignment="1">
      <alignment horizontal="center" vertical="center"/>
    </xf>
    <xf numFmtId="0" fontId="621" fillId="0" borderId="8" xfId="0" applyFont="1" applyFill="1" applyBorder="1" applyAlignment="1">
      <alignment horizontal="center" vertical="center"/>
    </xf>
    <xf numFmtId="2" fontId="621" fillId="0" borderId="8" xfId="0" applyNumberFormat="1" applyFont="1" applyFill="1" applyBorder="1" applyAlignment="1">
      <alignment horizontal="center" vertical="center"/>
    </xf>
    <xf numFmtId="0" fontId="736" fillId="0" borderId="164" xfId="0" applyFont="1" applyFill="1" applyBorder="1" applyAlignment="1">
      <alignment horizontal="center" vertical="center"/>
    </xf>
    <xf numFmtId="0" fontId="630" fillId="0" borderId="8" xfId="0" applyFont="1" applyFill="1" applyBorder="1" applyAlignment="1">
      <alignment horizontal="center" vertical="center"/>
    </xf>
    <xf numFmtId="2" fontId="630" fillId="0" borderId="8" xfId="0" applyNumberFormat="1" applyFont="1" applyFill="1" applyBorder="1" applyAlignment="1">
      <alignment horizontal="center" vertical="center"/>
    </xf>
    <xf numFmtId="0" fontId="737" fillId="0" borderId="164" xfId="0" applyFont="1" applyFill="1" applyBorder="1" applyAlignment="1">
      <alignment horizontal="center" vertical="center"/>
    </xf>
    <xf numFmtId="0" fontId="595" fillId="0" borderId="8" xfId="0" applyFont="1" applyFill="1" applyBorder="1" applyAlignment="1">
      <alignment horizontal="center" vertical="center"/>
    </xf>
    <xf numFmtId="2" fontId="595" fillId="0" borderId="8" xfId="0" applyNumberFormat="1" applyFont="1" applyFill="1" applyBorder="1" applyAlignment="1">
      <alignment horizontal="center" vertical="center"/>
    </xf>
    <xf numFmtId="0" fontId="670" fillId="0" borderId="164" xfId="0" applyFont="1" applyFill="1" applyBorder="1" applyAlignment="1">
      <alignment horizontal="center" vertical="center"/>
    </xf>
    <xf numFmtId="0" fontId="589" fillId="0" borderId="8" xfId="0" applyFont="1" applyFill="1" applyBorder="1" applyAlignment="1">
      <alignment horizontal="center" vertical="center"/>
    </xf>
    <xf numFmtId="2" fontId="589" fillId="0" borderId="8" xfId="0" applyNumberFormat="1" applyFont="1" applyFill="1" applyBorder="1" applyAlignment="1">
      <alignment horizontal="center" vertical="center"/>
    </xf>
    <xf numFmtId="0" fontId="668" fillId="0" borderId="164" xfId="0" applyFont="1" applyFill="1" applyBorder="1" applyAlignment="1">
      <alignment horizontal="center" vertical="center"/>
    </xf>
    <xf numFmtId="0" fontId="622" fillId="0" borderId="8" xfId="0" applyFont="1" applyFill="1" applyBorder="1" applyAlignment="1">
      <alignment horizontal="center" vertical="center"/>
    </xf>
    <xf numFmtId="2" fontId="622" fillId="0" borderId="8" xfId="0" applyNumberFormat="1" applyFont="1" applyFill="1" applyBorder="1" applyAlignment="1">
      <alignment horizontal="center" vertical="center"/>
    </xf>
    <xf numFmtId="0" fontId="715" fillId="0" borderId="164" xfId="0" applyFont="1" applyFill="1" applyBorder="1" applyAlignment="1">
      <alignment horizontal="center" vertical="center"/>
    </xf>
    <xf numFmtId="0" fontId="150" fillId="0" borderId="166" xfId="0" applyFont="1" applyFill="1" applyBorder="1" applyAlignment="1">
      <alignment horizontal="center" vertical="center"/>
    </xf>
    <xf numFmtId="2" fontId="150" fillId="0" borderId="166" xfId="0" applyNumberFormat="1" applyFont="1" applyFill="1" applyBorder="1" applyAlignment="1">
      <alignment horizontal="center" vertical="center"/>
    </xf>
    <xf numFmtId="0" fontId="274" fillId="0" borderId="167" xfId="0" applyFont="1" applyFill="1" applyBorder="1" applyAlignment="1">
      <alignment horizontal="center" vertical="center"/>
    </xf>
    <xf numFmtId="0" fontId="621" fillId="0" borderId="0" xfId="0" applyFont="1" applyAlignment="1"/>
    <xf numFmtId="0" fontId="592" fillId="2" borderId="8" xfId="0" applyFont="1" applyFill="1" applyBorder="1" applyAlignment="1">
      <alignment horizontal="center" vertical="center"/>
    </xf>
    <xf numFmtId="0" fontId="591" fillId="2" borderId="8" xfId="0" applyFont="1" applyFill="1" applyBorder="1" applyAlignment="1">
      <alignment horizontal="center" vertical="center"/>
    </xf>
    <xf numFmtId="0" fontId="163" fillId="2" borderId="8" xfId="0" applyFont="1" applyFill="1" applyBorder="1" applyAlignment="1">
      <alignment horizontal="center" vertical="center"/>
    </xf>
    <xf numFmtId="0" fontId="589" fillId="2" borderId="8" xfId="0" applyFont="1" applyFill="1" applyBorder="1" applyAlignment="1">
      <alignment horizontal="center" vertical="center"/>
    </xf>
    <xf numFmtId="169" fontId="591" fillId="10" borderId="0" xfId="0" applyNumberFormat="1" applyFont="1" applyFill="1" applyAlignment="1">
      <alignment horizontal="center" vertical="center"/>
    </xf>
    <xf numFmtId="185" fontId="593" fillId="10" borderId="0" xfId="0" applyNumberFormat="1" applyFont="1" applyFill="1" applyAlignment="1">
      <alignment horizontal="center" vertical="center"/>
    </xf>
    <xf numFmtId="185" fontId="594" fillId="10" borderId="0" xfId="0" applyNumberFormat="1" applyFont="1" applyFill="1" applyAlignment="1">
      <alignment horizontal="center" vertical="center"/>
    </xf>
    <xf numFmtId="185" fontId="655" fillId="0" borderId="0" xfId="0" applyNumberFormat="1" applyFont="1" applyAlignment="1">
      <alignment horizontal="center" vertical="center"/>
    </xf>
    <xf numFmtId="186" fontId="610" fillId="0" borderId="0" xfId="0" applyNumberFormat="1" applyFont="1" applyAlignment="1">
      <alignment horizontal="center" vertical="center"/>
    </xf>
    <xf numFmtId="186" fontId="621" fillId="10" borderId="0" xfId="0" applyNumberFormat="1" applyFont="1" applyFill="1" applyAlignment="1">
      <alignment horizontal="center" vertical="center"/>
    </xf>
    <xf numFmtId="185" fontId="630" fillId="10" borderId="0" xfId="0" applyNumberFormat="1" applyFont="1" applyFill="1" applyAlignment="1">
      <alignment horizontal="center" vertical="center"/>
    </xf>
    <xf numFmtId="185" fontId="595" fillId="10" borderId="0" xfId="0" applyNumberFormat="1" applyFont="1" applyFill="1" applyAlignment="1">
      <alignment horizontal="center" vertical="center"/>
    </xf>
    <xf numFmtId="186" fontId="687" fillId="0" borderId="0" xfId="0" applyNumberFormat="1" applyFont="1" applyAlignment="1">
      <alignment horizontal="center" vertical="center"/>
    </xf>
    <xf numFmtId="215" fontId="280" fillId="2" borderId="8" xfId="0" applyNumberFormat="1" applyFont="1" applyFill="1" applyBorder="1" applyAlignment="1">
      <alignment horizontal="left" vertical="center"/>
    </xf>
    <xf numFmtId="189" fontId="621" fillId="0" borderId="0" xfId="0" applyNumberFormat="1" applyFont="1" applyAlignment="1">
      <alignment horizontal="center" vertical="center"/>
    </xf>
    <xf numFmtId="189" fontId="589" fillId="0" borderId="0" xfId="0" applyNumberFormat="1" applyFont="1" applyAlignment="1">
      <alignment horizontal="center" vertical="center"/>
    </xf>
    <xf numFmtId="189" fontId="604" fillId="0" borderId="0" xfId="0" applyNumberFormat="1" applyFont="1" applyAlignment="1">
      <alignment horizontal="center" vertical="center"/>
    </xf>
    <xf numFmtId="189" fontId="630" fillId="0" borderId="0" xfId="0" applyNumberFormat="1" applyFont="1" applyAlignment="1">
      <alignment horizontal="center" vertical="center"/>
    </xf>
    <xf numFmtId="189" fontId="591" fillId="0" borderId="0" xfId="0" applyNumberFormat="1" applyFont="1" applyAlignment="1">
      <alignment horizontal="center" vertical="center"/>
    </xf>
    <xf numFmtId="189" fontId="592" fillId="0" borderId="0" xfId="0" applyNumberFormat="1" applyFont="1" applyAlignment="1">
      <alignment horizontal="center" vertical="center"/>
    </xf>
    <xf numFmtId="189" fontId="595" fillId="0" borderId="0" xfId="0" applyNumberFormat="1" applyFont="1" applyAlignment="1">
      <alignment horizontal="center" vertical="center"/>
    </xf>
    <xf numFmtId="186" fontId="593" fillId="0" borderId="0" xfId="0" applyNumberFormat="1" applyFont="1" applyAlignment="1">
      <alignment horizontal="center" vertical="center"/>
    </xf>
    <xf numFmtId="186" fontId="594" fillId="0" borderId="0" xfId="0" applyNumberFormat="1" applyFont="1" applyAlignment="1">
      <alignment horizontal="center" vertical="center"/>
    </xf>
    <xf numFmtId="186" fontId="163" fillId="0" borderId="0" xfId="0" applyNumberFormat="1" applyFont="1" applyAlignment="1">
      <alignment horizontal="center" vertical="center"/>
    </xf>
    <xf numFmtId="0" fontId="588" fillId="0" borderId="0" xfId="0" applyNumberFormat="1" applyFont="1" applyAlignment="1">
      <alignment horizontal="left" vertical="center"/>
    </xf>
    <xf numFmtId="0" fontId="0" fillId="0" borderId="8" xfId="0" applyFont="1" applyBorder="1" applyAlignment="1"/>
    <xf numFmtId="199" fontId="176" fillId="2" borderId="8" xfId="0" applyNumberFormat="1" applyFont="1" applyFill="1" applyBorder="1" applyAlignment="1">
      <alignment horizontal="center" vertical="center"/>
    </xf>
    <xf numFmtId="216" fontId="176" fillId="2" borderId="8" xfId="0" applyNumberFormat="1" applyFont="1" applyFill="1" applyBorder="1" applyAlignment="1">
      <alignment horizontal="center" vertical="center"/>
    </xf>
    <xf numFmtId="216" fontId="345" fillId="2" borderId="8" xfId="0" applyNumberFormat="1" applyFont="1" applyFill="1" applyBorder="1" applyAlignment="1">
      <alignment horizontal="center" vertical="center"/>
    </xf>
    <xf numFmtId="216" fontId="155" fillId="2" borderId="8" xfId="0" applyNumberFormat="1" applyFont="1" applyFill="1" applyBorder="1" applyAlignment="1">
      <alignment horizontal="center" vertical="center"/>
    </xf>
    <xf numFmtId="216" fontId="169" fillId="2" borderId="8" xfId="0" applyNumberFormat="1" applyFont="1" applyFill="1" applyBorder="1" applyAlignment="1">
      <alignment horizontal="center" vertical="center"/>
    </xf>
    <xf numFmtId="206" fontId="16" fillId="2" borderId="8" xfId="0" applyNumberFormat="1" applyFont="1" applyFill="1" applyBorder="1" applyAlignment="1">
      <alignment horizontal="center" vertical="center"/>
    </xf>
    <xf numFmtId="206" fontId="29" fillId="2" borderId="8" xfId="0" applyNumberFormat="1" applyFont="1" applyFill="1" applyBorder="1" applyAlignment="1">
      <alignment horizontal="center" vertical="center"/>
    </xf>
    <xf numFmtId="207" fontId="294" fillId="2" borderId="8" xfId="0" applyNumberFormat="1" applyFont="1" applyFill="1" applyBorder="1" applyAlignment="1">
      <alignment horizontal="center" vertical="center"/>
    </xf>
    <xf numFmtId="207" fontId="347" fillId="2" borderId="8" xfId="0" applyNumberFormat="1" applyFont="1" applyFill="1" applyBorder="1" applyAlignment="1">
      <alignment horizontal="center" vertical="center"/>
    </xf>
    <xf numFmtId="194" fontId="345" fillId="2" borderId="8" xfId="0" applyNumberFormat="1" applyFont="1" applyFill="1" applyBorder="1" applyAlignment="1">
      <alignment horizontal="center" vertical="center"/>
    </xf>
    <xf numFmtId="194" fontId="169" fillId="2" borderId="8" xfId="0" applyNumberFormat="1" applyFont="1" applyFill="1" applyBorder="1" applyAlignment="1">
      <alignment horizontal="center" vertical="center"/>
    </xf>
    <xf numFmtId="194" fontId="16" fillId="2" borderId="8" xfId="0" applyNumberFormat="1" applyFont="1" applyFill="1" applyBorder="1" applyAlignment="1">
      <alignment horizontal="center" vertical="center"/>
    </xf>
    <xf numFmtId="194" fontId="155" fillId="2" borderId="8" xfId="0" applyNumberFormat="1" applyFont="1" applyFill="1" applyBorder="1" applyAlignment="1">
      <alignment horizontal="center" vertical="center"/>
    </xf>
    <xf numFmtId="194" fontId="29" fillId="2" borderId="8" xfId="0" applyNumberFormat="1" applyFont="1" applyFill="1" applyBorder="1" applyAlignment="1">
      <alignment horizontal="center" vertical="center"/>
    </xf>
    <xf numFmtId="197" fontId="150" fillId="2" borderId="8" xfId="0" applyNumberFormat="1" applyFont="1" applyFill="1" applyBorder="1" applyAlignment="1">
      <alignment horizontal="center" vertical="center"/>
    </xf>
    <xf numFmtId="197" fontId="347" fillId="2" borderId="8" xfId="0" applyNumberFormat="1" applyFont="1" applyFill="1" applyBorder="1" applyAlignment="1">
      <alignment horizontal="center" vertical="center"/>
    </xf>
    <xf numFmtId="0" fontId="172" fillId="2" borderId="11" xfId="0" applyFont="1" applyFill="1" applyBorder="1" applyAlignment="1">
      <alignment horizontal="center" vertical="center"/>
    </xf>
    <xf numFmtId="1" fontId="150" fillId="2" borderId="11" xfId="0" applyNumberFormat="1" applyFont="1" applyFill="1" applyBorder="1" applyAlignment="1">
      <alignment horizontal="center" vertical="center"/>
    </xf>
    <xf numFmtId="0" fontId="233" fillId="2" borderId="12" xfId="0" applyNumberFormat="1" applyFont="1" applyFill="1" applyBorder="1" applyAlignment="1">
      <alignment horizontal="center" vertical="center"/>
    </xf>
    <xf numFmtId="216" fontId="172" fillId="2" borderId="8" xfId="0" applyNumberFormat="1" applyFont="1" applyFill="1" applyBorder="1" applyAlignment="1">
      <alignment horizontal="center" vertical="center"/>
    </xf>
    <xf numFmtId="207" fontId="163" fillId="2" borderId="8" xfId="0" applyNumberFormat="1" applyFont="1" applyFill="1" applyBorder="1" applyAlignment="1">
      <alignment horizontal="center" vertical="center"/>
    </xf>
    <xf numFmtId="194" fontId="172" fillId="2" borderId="8" xfId="0" applyNumberFormat="1" applyFont="1" applyFill="1" applyBorder="1" applyAlignment="1">
      <alignment horizontal="center" vertical="center"/>
    </xf>
    <xf numFmtId="49" fontId="162" fillId="2" borderId="10" xfId="0" applyNumberFormat="1" applyFont="1" applyFill="1" applyBorder="1" applyAlignment="1">
      <alignment horizontal="center" vertical="center"/>
    </xf>
    <xf numFmtId="197" fontId="163" fillId="2" borderId="11" xfId="0" applyNumberFormat="1" applyFont="1" applyFill="1" applyBorder="1" applyAlignment="1">
      <alignment horizontal="center" vertical="center"/>
    </xf>
    <xf numFmtId="2" fontId="163" fillId="2" borderId="11" xfId="0" applyNumberFormat="1" applyFont="1" applyFill="1" applyBorder="1" applyAlignment="1">
      <alignment horizontal="center" vertical="center"/>
    </xf>
    <xf numFmtId="1" fontId="288" fillId="2" borderId="12" xfId="0" applyNumberFormat="1" applyFont="1" applyFill="1" applyBorder="1" applyAlignment="1">
      <alignment horizontal="center" vertical="center"/>
    </xf>
    <xf numFmtId="0" fontId="340" fillId="2" borderId="165" xfId="0" applyNumberFormat="1" applyFont="1" applyFill="1" applyBorder="1" applyAlignment="1">
      <alignment horizontal="center" vertical="center"/>
    </xf>
    <xf numFmtId="49" fontId="133" fillId="2" borderId="166" xfId="0" applyNumberFormat="1" applyFont="1" applyFill="1" applyBorder="1" applyAlignment="1">
      <alignment horizontal="left" vertical="center"/>
    </xf>
    <xf numFmtId="1" fontId="245" fillId="2" borderId="166" xfId="0" applyNumberFormat="1" applyFont="1" applyFill="1" applyBorder="1" applyAlignment="1">
      <alignment horizontal="center" vertical="center"/>
    </xf>
    <xf numFmtId="2" fontId="245" fillId="2" borderId="167" xfId="0" applyNumberFormat="1" applyFont="1" applyFill="1" applyBorder="1" applyAlignment="1">
      <alignment horizontal="center" vertical="center"/>
    </xf>
    <xf numFmtId="213" fontId="588" fillId="0" borderId="8" xfId="9" applyNumberFormat="1" applyFont="1" applyBorder="1" applyAlignment="1">
      <alignment horizontal="center" vertical="center"/>
    </xf>
    <xf numFmtId="204" fontId="589" fillId="0" borderId="8" xfId="9" applyNumberFormat="1" applyFont="1" applyBorder="1" applyAlignment="1">
      <alignment horizontal="center" vertical="center"/>
    </xf>
    <xf numFmtId="173" fontId="604" fillId="0" borderId="8" xfId="9" applyNumberFormat="1" applyFont="1" applyBorder="1" applyAlignment="1">
      <alignment horizontal="center" vertical="center"/>
    </xf>
    <xf numFmtId="213" fontId="630" fillId="0" borderId="8" xfId="9" applyNumberFormat="1" applyFont="1" applyBorder="1" applyAlignment="1">
      <alignment horizontal="center" vertical="center"/>
    </xf>
    <xf numFmtId="193" fontId="592" fillId="0" borderId="8" xfId="9" applyNumberFormat="1" applyFont="1" applyBorder="1" applyAlignment="1">
      <alignment horizontal="center" vertical="center"/>
    </xf>
    <xf numFmtId="191" fontId="622" fillId="0" borderId="8" xfId="9" applyNumberFormat="1" applyFont="1" applyBorder="1" applyAlignment="1">
      <alignment horizontal="center" vertical="center"/>
    </xf>
    <xf numFmtId="0" fontId="288" fillId="2" borderId="9" xfId="0" applyFont="1" applyFill="1" applyBorder="1" applyAlignment="1">
      <alignment horizontal="center" vertical="center"/>
    </xf>
    <xf numFmtId="0" fontId="233" fillId="2" borderId="9" xfId="0" applyFont="1" applyFill="1" applyBorder="1" applyAlignment="1">
      <alignment horizontal="center" vertical="center"/>
    </xf>
    <xf numFmtId="2" fontId="630" fillId="2" borderId="8" xfId="0" applyNumberFormat="1" applyFont="1" applyFill="1" applyBorder="1" applyAlignment="1">
      <alignment horizontal="center" vertical="center"/>
    </xf>
    <xf numFmtId="0" fontId="646" fillId="2" borderId="9" xfId="0" applyFont="1" applyFill="1" applyBorder="1" applyAlignment="1">
      <alignment horizontal="center" vertical="center"/>
    </xf>
    <xf numFmtId="49" fontId="738" fillId="2" borderId="6" xfId="0" applyNumberFormat="1" applyFont="1" applyFill="1" applyBorder="1" applyAlignment="1">
      <alignment horizontal="center" vertical="center"/>
    </xf>
    <xf numFmtId="49" fontId="608" fillId="2" borderId="6" xfId="0" applyNumberFormat="1" applyFont="1" applyFill="1" applyBorder="1" applyAlignment="1">
      <alignment horizontal="center" vertical="center"/>
    </xf>
    <xf numFmtId="2" fontId="589" fillId="2" borderId="8" xfId="0" applyNumberFormat="1" applyFont="1" applyFill="1" applyBorder="1" applyAlignment="1">
      <alignment horizontal="center" vertical="center"/>
    </xf>
    <xf numFmtId="0" fontId="609" fillId="2" borderId="9" xfId="0" applyFont="1" applyFill="1" applyBorder="1" applyAlignment="1">
      <alignment horizontal="center" vertical="center"/>
    </xf>
    <xf numFmtId="49" fontId="712" fillId="2" borderId="6" xfId="0" applyNumberFormat="1" applyFont="1" applyFill="1" applyBorder="1" applyAlignment="1">
      <alignment horizontal="center" vertical="center"/>
    </xf>
    <xf numFmtId="0" fontId="621" fillId="2" borderId="8" xfId="0" applyFont="1" applyFill="1" applyBorder="1" applyAlignment="1">
      <alignment horizontal="center" vertical="center"/>
    </xf>
    <xf numFmtId="0" fontId="687" fillId="2" borderId="9" xfId="0" applyFont="1" applyFill="1" applyBorder="1" applyAlignment="1">
      <alignment horizontal="center" vertical="center"/>
    </xf>
    <xf numFmtId="49" fontId="613" fillId="2" borderId="6" xfId="0" applyNumberFormat="1" applyFont="1" applyFill="1" applyBorder="1" applyAlignment="1">
      <alignment horizontal="center" vertical="center"/>
    </xf>
    <xf numFmtId="2" fontId="592" fillId="2" borderId="8" xfId="0" applyNumberFormat="1" applyFont="1" applyFill="1" applyBorder="1" applyAlignment="1">
      <alignment horizontal="center" vertical="center"/>
    </xf>
    <xf numFmtId="0" fontId="624" fillId="2" borderId="9" xfId="0" applyFont="1" applyFill="1" applyBorder="1" applyAlignment="1">
      <alignment horizontal="center" vertical="center"/>
    </xf>
    <xf numFmtId="49" fontId="612" fillId="2" borderId="6" xfId="0" applyNumberFormat="1" applyFont="1" applyFill="1" applyBorder="1" applyAlignment="1">
      <alignment horizontal="center" vertical="center"/>
    </xf>
    <xf numFmtId="2" fontId="591" fillId="2" borderId="8" xfId="0" applyNumberFormat="1" applyFont="1" applyFill="1" applyBorder="1" applyAlignment="1">
      <alignment horizontal="center" vertical="center"/>
    </xf>
    <xf numFmtId="0" fontId="682" fillId="2" borderId="9" xfId="0" applyFont="1" applyFill="1" applyBorder="1" applyAlignment="1">
      <alignment horizontal="center" vertical="center"/>
    </xf>
    <xf numFmtId="49" fontId="603" fillId="2" borderId="10" xfId="0" applyNumberFormat="1" applyFont="1" applyFill="1" applyBorder="1" applyAlignment="1">
      <alignment horizontal="center" vertical="center"/>
    </xf>
    <xf numFmtId="0" fontId="604" fillId="2" borderId="11" xfId="0" applyFont="1" applyFill="1" applyBorder="1" applyAlignment="1">
      <alignment horizontal="center" vertical="center"/>
    </xf>
    <xf numFmtId="2" fontId="604" fillId="2" borderId="11" xfId="0" applyNumberFormat="1" applyFont="1" applyFill="1" applyBorder="1" applyAlignment="1">
      <alignment horizontal="center" vertical="center"/>
    </xf>
    <xf numFmtId="0" fontId="610" fillId="2" borderId="12" xfId="0" applyFont="1" applyFill="1" applyBorder="1" applyAlignment="1">
      <alignment horizontal="center" vertical="center"/>
    </xf>
    <xf numFmtId="1" fontId="231" fillId="2" borderId="8" xfId="0" applyNumberFormat="1" applyFont="1" applyFill="1" applyBorder="1" applyAlignment="1">
      <alignment horizontal="center" vertical="center"/>
    </xf>
    <xf numFmtId="1" fontId="267" fillId="2" borderId="11" xfId="0" applyNumberFormat="1" applyFont="1" applyFill="1" applyBorder="1" applyAlignment="1">
      <alignment horizontal="center" vertical="center"/>
    </xf>
    <xf numFmtId="0" fontId="268" fillId="2" borderId="12" xfId="0" applyNumberFormat="1" applyFont="1" applyFill="1" applyBorder="1" applyAlignment="1">
      <alignment horizontal="center" vertical="center"/>
    </xf>
    <xf numFmtId="179" fontId="150" fillId="2" borderId="11" xfId="0" applyNumberFormat="1" applyFont="1" applyFill="1" applyBorder="1" applyAlignment="1">
      <alignment horizontal="center" vertical="center"/>
    </xf>
    <xf numFmtId="204" fontId="176" fillId="2" borderId="8" xfId="0" applyNumberFormat="1" applyFont="1" applyFill="1" applyBorder="1" applyAlignment="1">
      <alignment horizontal="center" vertical="center"/>
    </xf>
    <xf numFmtId="173" fontId="172" fillId="2" borderId="8" xfId="0" applyNumberFormat="1" applyFont="1" applyFill="1" applyBorder="1" applyAlignment="1">
      <alignment horizontal="center" vertical="center"/>
    </xf>
    <xf numFmtId="191" fontId="150" fillId="2" borderId="8" xfId="0" applyNumberFormat="1" applyFont="1" applyFill="1" applyBorder="1" applyAlignment="1">
      <alignment horizontal="center" vertical="center"/>
    </xf>
    <xf numFmtId="200" fontId="37" fillId="2" borderId="8" xfId="0" applyNumberFormat="1" applyFont="1" applyFill="1" applyBorder="1" applyAlignment="1">
      <alignment horizontal="center" vertical="center"/>
    </xf>
    <xf numFmtId="2" fontId="235" fillId="2" borderId="8" xfId="0" applyNumberFormat="1" applyFont="1" applyFill="1" applyBorder="1" applyAlignment="1">
      <alignment horizontal="center" vertical="center"/>
    </xf>
    <xf numFmtId="0" fontId="15" fillId="2" borderId="160" xfId="0" applyNumberFormat="1" applyFont="1" applyFill="1" applyBorder="1" applyAlignment="1">
      <alignment horizontal="center" vertical="center"/>
    </xf>
    <xf numFmtId="0" fontId="241" fillId="0" borderId="165" xfId="0" applyNumberFormat="1" applyFont="1" applyFill="1" applyBorder="1" applyAlignment="1">
      <alignment horizontal="center" vertical="center"/>
    </xf>
    <xf numFmtId="49" fontId="219" fillId="0" borderId="166" xfId="0" applyNumberFormat="1" applyFont="1" applyFill="1" applyBorder="1" applyAlignment="1">
      <alignment horizontal="left" vertical="center"/>
    </xf>
    <xf numFmtId="1" fontId="294" fillId="0" borderId="166" xfId="0" applyNumberFormat="1" applyFont="1" applyFill="1" applyBorder="1" applyAlignment="1">
      <alignment horizontal="center" vertical="center"/>
    </xf>
    <xf numFmtId="2" fontId="294" fillId="0" borderId="167" xfId="0" applyNumberFormat="1" applyFont="1" applyFill="1" applyBorder="1" applyAlignment="1">
      <alignment horizontal="center" vertical="center"/>
    </xf>
    <xf numFmtId="0" fontId="262" fillId="0" borderId="160" xfId="0" applyNumberFormat="1" applyFont="1" applyFill="1" applyBorder="1" applyAlignment="1">
      <alignment horizontal="center" vertical="center"/>
    </xf>
    <xf numFmtId="49" fontId="221" fillId="0" borderId="8" xfId="0" applyNumberFormat="1" applyFont="1" applyFill="1" applyBorder="1" applyAlignment="1">
      <alignment horizontal="left" vertical="center"/>
    </xf>
    <xf numFmtId="1" fontId="29" fillId="0" borderId="8" xfId="0" applyNumberFormat="1" applyFont="1" applyFill="1" applyBorder="1" applyAlignment="1">
      <alignment horizontal="center" vertical="center"/>
    </xf>
    <xf numFmtId="2" fontId="29" fillId="0" borderId="164" xfId="0" applyNumberFormat="1" applyFont="1" applyFill="1" applyBorder="1" applyAlignment="1">
      <alignment horizontal="center" vertical="center"/>
    </xf>
    <xf numFmtId="49" fontId="221" fillId="0" borderId="6" xfId="0" applyNumberFormat="1" applyFont="1" applyFill="1" applyBorder="1" applyAlignment="1">
      <alignment horizontal="center" vertical="center"/>
    </xf>
    <xf numFmtId="179" fontId="29" fillId="0" borderId="8" xfId="0" applyNumberFormat="1" applyFont="1" applyFill="1" applyBorder="1" applyAlignment="1">
      <alignment horizontal="center" vertical="center"/>
    </xf>
    <xf numFmtId="2" fontId="29" fillId="0" borderId="8" xfId="0" applyNumberFormat="1" applyFont="1" applyFill="1" applyBorder="1" applyAlignment="1">
      <alignment horizontal="center" vertical="center"/>
    </xf>
    <xf numFmtId="0" fontId="262" fillId="0" borderId="9" xfId="0" applyNumberFormat="1" applyFont="1" applyFill="1" applyBorder="1" applyAlignment="1">
      <alignment horizontal="center" vertical="center"/>
    </xf>
    <xf numFmtId="49" fontId="219" fillId="0" borderId="6" xfId="0" applyNumberFormat="1" applyFont="1" applyFill="1" applyBorder="1" applyAlignment="1">
      <alignment horizontal="center" vertical="center"/>
    </xf>
    <xf numFmtId="184" fontId="294" fillId="0" borderId="8" xfId="0" applyNumberFormat="1" applyFont="1" applyFill="1" applyBorder="1" applyAlignment="1">
      <alignment horizontal="center" vertical="center"/>
    </xf>
    <xf numFmtId="2" fontId="294" fillId="0" borderId="8" xfId="0" applyNumberFormat="1" applyFont="1" applyFill="1" applyBorder="1" applyAlignment="1">
      <alignment horizontal="center" vertical="center"/>
    </xf>
    <xf numFmtId="0" fontId="241" fillId="0" borderId="9" xfId="0" applyNumberFormat="1" applyFont="1" applyFill="1" applyBorder="1" applyAlignment="1">
      <alignment horizontal="center" vertical="center"/>
    </xf>
    <xf numFmtId="1" fontId="295" fillId="0" borderId="8" xfId="0" applyNumberFormat="1" applyFont="1" applyFill="1" applyBorder="1" applyAlignment="1">
      <alignment horizontal="center" vertical="center"/>
    </xf>
    <xf numFmtId="0" fontId="296" fillId="0" borderId="9" xfId="0" applyNumberFormat="1" applyFont="1" applyFill="1" applyBorder="1" applyAlignment="1">
      <alignment horizontal="center" vertical="center"/>
    </xf>
    <xf numFmtId="1" fontId="306" fillId="0" borderId="8" xfId="0" applyNumberFormat="1" applyFont="1" applyFill="1" applyBorder="1" applyAlignment="1">
      <alignment horizontal="center" vertical="center"/>
    </xf>
    <xf numFmtId="0" fontId="307" fillId="0" borderId="9" xfId="0" applyNumberFormat="1" applyFont="1" applyFill="1" applyBorder="1" applyAlignment="1">
      <alignment horizontal="center" vertical="center"/>
    </xf>
    <xf numFmtId="49" fontId="698" fillId="0" borderId="6" xfId="0" applyNumberFormat="1" applyFont="1" applyFill="1" applyBorder="1" applyAlignment="1">
      <alignment horizontal="center" vertical="center"/>
    </xf>
    <xf numFmtId="0" fontId="623" fillId="0" borderId="9" xfId="0" applyFont="1" applyFill="1" applyBorder="1" applyAlignment="1">
      <alignment horizontal="center" vertical="center"/>
    </xf>
    <xf numFmtId="49" fontId="219" fillId="0" borderId="10" xfId="0" applyNumberFormat="1" applyFont="1" applyFill="1" applyBorder="1" applyAlignment="1">
      <alignment horizontal="center" vertical="center"/>
    </xf>
    <xf numFmtId="192" fontId="294" fillId="0" borderId="11" xfId="0" applyNumberFormat="1" applyFont="1" applyFill="1" applyBorder="1" applyAlignment="1">
      <alignment horizontal="center" vertical="center"/>
    </xf>
    <xf numFmtId="2" fontId="160" fillId="0" borderId="11" xfId="0" applyNumberFormat="1" applyFont="1" applyFill="1" applyBorder="1" applyAlignment="1">
      <alignment horizontal="center" vertical="center"/>
    </xf>
    <xf numFmtId="0" fontId="296" fillId="0" borderId="12" xfId="0" applyNumberFormat="1" applyFont="1" applyFill="1" applyBorder="1" applyAlignment="1">
      <alignment horizontal="center" vertical="center"/>
    </xf>
    <xf numFmtId="49" fontId="144" fillId="0" borderId="6" xfId="0" applyNumberFormat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2" fontId="350" fillId="0" borderId="8" xfId="0" applyNumberFormat="1" applyFont="1" applyFill="1" applyBorder="1" applyAlignment="1">
      <alignment horizontal="center" vertical="center"/>
    </xf>
    <xf numFmtId="0" fontId="351" fillId="0" borderId="9" xfId="0" applyFont="1" applyFill="1" applyBorder="1" applyAlignment="1">
      <alignment horizontal="center" vertical="center"/>
    </xf>
    <xf numFmtId="204" fontId="29" fillId="0" borderId="8" xfId="0" applyNumberFormat="1" applyFont="1" applyFill="1" applyBorder="1" applyAlignment="1">
      <alignment horizontal="center" vertical="center"/>
    </xf>
    <xf numFmtId="2" fontId="327" fillId="0" borderId="8" xfId="0" applyNumberFormat="1" applyFont="1" applyFill="1" applyBorder="1" applyAlignment="1">
      <alignment horizontal="center" vertical="center"/>
    </xf>
    <xf numFmtId="0" fontId="328" fillId="0" borderId="9" xfId="0" applyNumberFormat="1" applyFont="1" applyFill="1" applyBorder="1" applyAlignment="1">
      <alignment horizontal="center" vertical="center"/>
    </xf>
    <xf numFmtId="168" fontId="29" fillId="0" borderId="8" xfId="0" applyNumberFormat="1" applyFont="1" applyFill="1" applyBorder="1" applyAlignment="1">
      <alignment horizontal="center" vertical="center"/>
    </xf>
    <xf numFmtId="168" fontId="294" fillId="0" borderId="8" xfId="0" applyNumberFormat="1" applyFont="1" applyFill="1" applyBorder="1" applyAlignment="1">
      <alignment horizontal="center" vertical="center"/>
    </xf>
    <xf numFmtId="0" fontId="316" fillId="2" borderId="9" xfId="0" applyNumberFormat="1" applyFont="1" applyFill="1" applyBorder="1" applyAlignment="1">
      <alignment horizontal="center" vertical="center"/>
    </xf>
    <xf numFmtId="171" fontId="245" fillId="2" borderId="8" xfId="0" applyNumberFormat="1" applyFont="1" applyFill="1" applyBorder="1" applyAlignment="1">
      <alignment horizontal="center" vertical="center"/>
    </xf>
    <xf numFmtId="217" fontId="176" fillId="2" borderId="8" xfId="0" applyNumberFormat="1" applyFont="1" applyFill="1" applyBorder="1" applyAlignment="1">
      <alignment horizontal="center" vertical="center"/>
    </xf>
    <xf numFmtId="217" fontId="345" fillId="2" borderId="8" xfId="0" applyNumberFormat="1" applyFont="1" applyFill="1" applyBorder="1" applyAlignment="1">
      <alignment horizontal="center" vertical="center"/>
    </xf>
    <xf numFmtId="217" fontId="155" fillId="2" borderId="8" xfId="0" applyNumberFormat="1" applyFont="1" applyFill="1" applyBorder="1" applyAlignment="1">
      <alignment horizontal="center" vertical="center"/>
    </xf>
    <xf numFmtId="210" fontId="150" fillId="2" borderId="8" xfId="0" applyNumberFormat="1" applyFont="1" applyFill="1" applyBorder="1" applyAlignment="1">
      <alignment horizontal="center" vertical="center"/>
    </xf>
    <xf numFmtId="210" fontId="160" fillId="2" borderId="8" xfId="0" applyNumberFormat="1" applyFont="1" applyFill="1" applyBorder="1" applyAlignment="1">
      <alignment horizontal="center" vertical="center"/>
    </xf>
    <xf numFmtId="210" fontId="347" fillId="2" borderId="8" xfId="0" applyNumberFormat="1" applyFont="1" applyFill="1" applyBorder="1" applyAlignment="1">
      <alignment horizontal="center" vertical="center"/>
    </xf>
    <xf numFmtId="201" fontId="29" fillId="2" borderId="8" xfId="0" applyNumberFormat="1" applyFont="1" applyFill="1" applyBorder="1" applyAlignment="1">
      <alignment horizontal="center" vertical="center"/>
    </xf>
    <xf numFmtId="201" fontId="16" fillId="2" borderId="8" xfId="0" applyNumberFormat="1" applyFont="1" applyFill="1" applyBorder="1" applyAlignment="1">
      <alignment horizontal="center" vertical="center"/>
    </xf>
    <xf numFmtId="201" fontId="169" fillId="2" borderId="8" xfId="0" applyNumberFormat="1" applyFont="1" applyFill="1" applyBorder="1" applyAlignment="1">
      <alignment horizontal="center" vertical="center"/>
    </xf>
    <xf numFmtId="1" fontId="314" fillId="2" borderId="11" xfId="0" applyNumberFormat="1" applyFont="1" applyFill="1" applyBorder="1" applyAlignment="1">
      <alignment horizontal="center" vertical="center"/>
    </xf>
    <xf numFmtId="0" fontId="315" fillId="2" borderId="12" xfId="0" applyNumberFormat="1" applyFont="1" applyFill="1" applyBorder="1" applyAlignment="1">
      <alignment horizontal="center" vertical="center"/>
    </xf>
    <xf numFmtId="0" fontId="329" fillId="2" borderId="12" xfId="0" applyNumberFormat="1" applyFont="1" applyFill="1" applyBorder="1" applyAlignment="1">
      <alignment horizontal="center" vertical="center"/>
    </xf>
    <xf numFmtId="217" fontId="172" fillId="2" borderId="8" xfId="0" applyNumberFormat="1" applyFont="1" applyFill="1" applyBorder="1" applyAlignment="1">
      <alignment horizontal="center" vertical="center"/>
    </xf>
    <xf numFmtId="210" fontId="294" fillId="2" borderId="8" xfId="0" applyNumberFormat="1" applyFont="1" applyFill="1" applyBorder="1" applyAlignment="1">
      <alignment horizontal="center" vertical="center"/>
    </xf>
    <xf numFmtId="210" fontId="163" fillId="2" borderId="8" xfId="0" applyNumberFormat="1" applyFont="1" applyFill="1" applyBorder="1" applyAlignment="1">
      <alignment horizontal="center" vertical="center"/>
    </xf>
    <xf numFmtId="210" fontId="150" fillId="2" borderId="11" xfId="0" applyNumberFormat="1" applyFont="1" applyFill="1" applyBorder="1" applyAlignment="1">
      <alignment horizontal="center" vertical="center"/>
    </xf>
    <xf numFmtId="2" fontId="267" fillId="2" borderId="11" xfId="0" applyNumberFormat="1" applyFont="1" applyFill="1" applyBorder="1" applyAlignment="1">
      <alignment horizontal="center" vertical="center"/>
    </xf>
    <xf numFmtId="189" fontId="294" fillId="2" borderId="8" xfId="0" applyNumberFormat="1" applyFont="1" applyFill="1" applyBorder="1" applyAlignment="1">
      <alignment horizontal="center" vertical="center"/>
    </xf>
    <xf numFmtId="186" fontId="155" fillId="2" borderId="11" xfId="0" applyNumberFormat="1" applyFont="1" applyFill="1" applyBorder="1" applyAlignment="1">
      <alignment horizontal="center" vertical="center"/>
    </xf>
    <xf numFmtId="2" fontId="231" fillId="2" borderId="11" xfId="0" applyNumberFormat="1" applyFont="1" applyFill="1" applyBorder="1" applyAlignment="1">
      <alignment horizontal="center" vertical="center"/>
    </xf>
    <xf numFmtId="0" fontId="232" fillId="2" borderId="160" xfId="0" applyNumberFormat="1" applyFont="1" applyFill="1" applyBorder="1" applyAlignment="1">
      <alignment horizontal="center" vertical="center"/>
    </xf>
    <xf numFmtId="0" fontId="315" fillId="2" borderId="165" xfId="0" applyNumberFormat="1" applyFont="1" applyFill="1" applyBorder="1" applyAlignment="1">
      <alignment horizontal="center" vertical="center"/>
    </xf>
    <xf numFmtId="49" fontId="171" fillId="2" borderId="166" xfId="0" applyNumberFormat="1" applyFont="1" applyFill="1" applyBorder="1" applyAlignment="1">
      <alignment horizontal="left" vertical="center"/>
    </xf>
    <xf numFmtId="0" fontId="314" fillId="2" borderId="166" xfId="0" applyNumberFormat="1" applyFont="1" applyFill="1" applyBorder="1" applyAlignment="1">
      <alignment horizontal="center" vertical="center"/>
    </xf>
    <xf numFmtId="2" fontId="231" fillId="2" borderId="164" xfId="0" applyNumberFormat="1" applyFont="1" applyFill="1" applyBorder="1" applyAlignment="1">
      <alignment horizontal="center" vertical="center"/>
    </xf>
    <xf numFmtId="2" fontId="314" fillId="2" borderId="167" xfId="0" applyNumberFormat="1" applyFont="1" applyFill="1" applyBorder="1" applyAlignment="1">
      <alignment horizontal="center" vertical="center"/>
    </xf>
    <xf numFmtId="0" fontId="349" fillId="2" borderId="56" xfId="0" applyNumberFormat="1" applyFont="1" applyFill="1" applyBorder="1" applyAlignment="1">
      <alignment horizontal="center" vertical="center"/>
    </xf>
    <xf numFmtId="0" fontId="331" fillId="2" borderId="58" xfId="0" applyNumberFormat="1" applyFont="1" applyFill="1" applyBorder="1" applyAlignment="1">
      <alignment horizontal="center" vertical="center"/>
    </xf>
    <xf numFmtId="0" fontId="312" fillId="2" borderId="58" xfId="0" applyNumberFormat="1" applyFont="1" applyFill="1" applyBorder="1" applyAlignment="1">
      <alignment horizontal="center" vertical="center"/>
    </xf>
    <xf numFmtId="0" fontId="343" fillId="2" borderId="61" xfId="0" applyNumberFormat="1" applyFont="1" applyFill="1" applyBorder="1" applyAlignment="1">
      <alignment horizontal="center" vertical="center"/>
    </xf>
    <xf numFmtId="49" fontId="144" fillId="2" borderId="57" xfId="0" applyNumberFormat="1" applyFont="1" applyFill="1" applyBorder="1" applyAlignment="1">
      <alignment horizontal="center" vertical="center"/>
    </xf>
    <xf numFmtId="49" fontId="149" fillId="2" borderId="62" xfId="0" applyNumberFormat="1" applyFont="1" applyFill="1" applyBorder="1" applyAlignment="1">
      <alignment horizontal="center" vertical="center"/>
    </xf>
    <xf numFmtId="2" fontId="159" fillId="2" borderId="57" xfId="0" applyNumberFormat="1" applyFont="1" applyFill="1" applyBorder="1" applyAlignment="1">
      <alignment horizontal="center" vertical="center"/>
    </xf>
    <xf numFmtId="2" fontId="176" fillId="2" borderId="59" xfId="0" applyNumberFormat="1" applyFont="1" applyFill="1" applyBorder="1" applyAlignment="1">
      <alignment horizontal="center" vertical="center"/>
    </xf>
    <xf numFmtId="2" fontId="16" fillId="2" borderId="59" xfId="0" applyNumberFormat="1" applyFont="1" applyFill="1" applyBorder="1" applyAlignment="1">
      <alignment horizontal="center" vertical="center"/>
    </xf>
    <xf numFmtId="2" fontId="150" fillId="2" borderId="62" xfId="0" applyNumberFormat="1" applyFont="1" applyFill="1" applyBorder="1" applyAlignment="1">
      <alignment horizontal="center" vertical="center"/>
    </xf>
    <xf numFmtId="2" fontId="250" fillId="2" borderId="57" xfId="0" applyNumberFormat="1" applyFont="1" applyFill="1" applyBorder="1" applyAlignment="1">
      <alignment horizontal="center" vertical="center"/>
    </xf>
    <xf numFmtId="2" fontId="284" fillId="2" borderId="59" xfId="0" applyNumberFormat="1" applyFont="1" applyFill="1" applyBorder="1" applyAlignment="1">
      <alignment horizontal="center" vertical="center"/>
    </xf>
    <xf numFmtId="2" fontId="15" fillId="2" borderId="59" xfId="0" applyNumberFormat="1" applyFont="1" applyFill="1" applyBorder="1" applyAlignment="1">
      <alignment horizontal="center" vertical="center"/>
    </xf>
    <xf numFmtId="2" fontId="233" fillId="2" borderId="62" xfId="0" applyNumberFormat="1" applyFont="1" applyFill="1" applyBorder="1" applyAlignment="1">
      <alignment horizontal="center" vertical="center"/>
    </xf>
    <xf numFmtId="2" fontId="733" fillId="0" borderId="8" xfId="43" applyNumberFormat="1" applyFont="1" applyFill="1" applyBorder="1" applyAlignment="1">
      <alignment horizontal="center" vertical="center" shrinkToFit="1"/>
    </xf>
    <xf numFmtId="2" fontId="284" fillId="2" borderId="187" xfId="0" applyNumberFormat="1" applyFont="1" applyFill="1" applyBorder="1" applyAlignment="1">
      <alignment horizontal="center" vertical="center"/>
    </xf>
    <xf numFmtId="2" fontId="15" fillId="2" borderId="187" xfId="0" applyNumberFormat="1" applyFont="1" applyFill="1" applyBorder="1" applyAlignment="1">
      <alignment horizontal="center" vertical="center"/>
    </xf>
    <xf numFmtId="2" fontId="604" fillId="0" borderId="8" xfId="43" applyNumberFormat="1" applyFont="1" applyFill="1" applyBorder="1" applyAlignment="1">
      <alignment horizontal="center" vertical="center" shrinkToFit="1"/>
    </xf>
    <xf numFmtId="2" fontId="163" fillId="0" borderId="8" xfId="43" applyNumberFormat="1" applyFont="1" applyFill="1" applyBorder="1" applyAlignment="1">
      <alignment horizontal="center" vertical="center" shrinkToFit="1"/>
    </xf>
    <xf numFmtId="2" fontId="589" fillId="0" borderId="8" xfId="43" applyNumberFormat="1" applyFont="1" applyFill="1" applyBorder="1" applyAlignment="1">
      <alignment horizontal="center" vertical="center" shrinkToFit="1"/>
    </xf>
    <xf numFmtId="2" fontId="591" fillId="0" borderId="8" xfId="43" applyNumberFormat="1" applyFont="1" applyFill="1" applyBorder="1" applyAlignment="1">
      <alignment horizontal="center" vertical="center" shrinkToFit="1"/>
    </xf>
    <xf numFmtId="2" fontId="622" fillId="0" borderId="8" xfId="43" applyNumberFormat="1" applyFont="1" applyFill="1" applyBorder="1" applyAlignment="1">
      <alignment horizontal="center" vertical="center" shrinkToFit="1"/>
    </xf>
    <xf numFmtId="2" fontId="621" fillId="0" borderId="8" xfId="43" applyNumberFormat="1" applyFont="1" applyFill="1" applyBorder="1" applyAlignment="1">
      <alignment horizontal="center" vertical="center" shrinkToFit="1"/>
    </xf>
    <xf numFmtId="49" fontId="603" fillId="0" borderId="8" xfId="0" applyNumberFormat="1" applyFont="1" applyFill="1" applyBorder="1" applyAlignment="1">
      <alignment horizontal="center" vertical="center"/>
    </xf>
    <xf numFmtId="49" fontId="162" fillId="0" borderId="8" xfId="0" applyNumberFormat="1" applyFont="1" applyFill="1" applyBorder="1" applyAlignment="1">
      <alignment horizontal="center" vertical="center"/>
    </xf>
    <xf numFmtId="49" fontId="608" fillId="0" borderId="8" xfId="0" applyNumberFormat="1" applyFont="1" applyFill="1" applyBorder="1" applyAlignment="1">
      <alignment horizontal="center" vertical="center"/>
    </xf>
    <xf numFmtId="49" fontId="141" fillId="0" borderId="8" xfId="0" applyNumberFormat="1" applyFont="1" applyFill="1" applyBorder="1" applyAlignment="1">
      <alignment horizontal="center" vertical="center"/>
    </xf>
    <xf numFmtId="49" fontId="612" fillId="0" borderId="8" xfId="0" applyNumberFormat="1" applyFont="1" applyFill="1" applyBorder="1" applyAlignment="1">
      <alignment horizontal="center" vertical="center"/>
    </xf>
    <xf numFmtId="49" fontId="698" fillId="0" borderId="8" xfId="0" applyNumberFormat="1" applyFont="1" applyFill="1" applyBorder="1" applyAlignment="1">
      <alignment horizontal="center" vertical="center"/>
    </xf>
    <xf numFmtId="49" fontId="712" fillId="0" borderId="8" xfId="0" applyNumberFormat="1" applyFont="1" applyFill="1" applyBorder="1" applyAlignment="1">
      <alignment horizontal="center" vertical="center"/>
    </xf>
    <xf numFmtId="0" fontId="743" fillId="14" borderId="161" xfId="0" applyFont="1" applyFill="1" applyBorder="1" applyAlignment="1">
      <alignment horizontal="center" vertical="center"/>
    </xf>
    <xf numFmtId="0" fontId="745" fillId="0" borderId="160" xfId="0" applyFont="1" applyFill="1" applyBorder="1" applyAlignment="1">
      <alignment horizontal="center" vertical="center"/>
    </xf>
    <xf numFmtId="2" fontId="604" fillId="0" borderId="164" xfId="0" applyNumberFormat="1" applyFont="1" applyFill="1" applyBorder="1" applyAlignment="1">
      <alignment horizontal="center" vertical="center"/>
    </xf>
    <xf numFmtId="0" fontId="297" fillId="0" borderId="160" xfId="0" applyFont="1" applyFill="1" applyBorder="1" applyAlignment="1">
      <alignment horizontal="center" vertical="center"/>
    </xf>
    <xf numFmtId="2" fontId="163" fillId="0" borderId="164" xfId="0" applyNumberFormat="1" applyFont="1" applyFill="1" applyBorder="1" applyAlignment="1">
      <alignment horizontal="center" vertical="center"/>
    </xf>
    <xf numFmtId="0" fontId="747" fillId="0" borderId="160" xfId="0" applyFont="1" applyFill="1" applyBorder="1" applyAlignment="1">
      <alignment horizontal="center" vertical="center"/>
    </xf>
    <xf numFmtId="2" fontId="589" fillId="0" borderId="164" xfId="0" applyNumberFormat="1" applyFont="1" applyFill="1" applyBorder="1" applyAlignment="1">
      <alignment horizontal="center" vertical="center"/>
    </xf>
    <xf numFmtId="0" fontId="742" fillId="0" borderId="160" xfId="0" applyFont="1" applyFill="1" applyBorder="1" applyAlignment="1">
      <alignment horizontal="center" vertical="center"/>
    </xf>
    <xf numFmtId="2" fontId="733" fillId="0" borderId="164" xfId="0" applyNumberFormat="1" applyFont="1" applyFill="1" applyBorder="1" applyAlignment="1">
      <alignment horizontal="center" vertical="center"/>
    </xf>
    <xf numFmtId="0" fontId="748" fillId="0" borderId="160" xfId="0" applyFont="1" applyFill="1" applyBorder="1" applyAlignment="1">
      <alignment horizontal="center" vertical="center"/>
    </xf>
    <xf numFmtId="2" fontId="591" fillId="0" borderId="164" xfId="0" applyNumberFormat="1" applyFont="1" applyFill="1" applyBorder="1" applyAlignment="1">
      <alignment horizontal="center" vertical="center"/>
    </xf>
    <xf numFmtId="0" fontId="749" fillId="0" borderId="160" xfId="0" applyFont="1" applyFill="1" applyBorder="1" applyAlignment="1">
      <alignment horizontal="center" vertical="center"/>
    </xf>
    <xf numFmtId="2" fontId="622" fillId="0" borderId="164" xfId="0" applyNumberFormat="1" applyFont="1" applyFill="1" applyBorder="1" applyAlignment="1">
      <alignment horizontal="center" vertical="center"/>
    </xf>
    <xf numFmtId="0" fontId="750" fillId="0" borderId="160" xfId="0" applyFont="1" applyFill="1" applyBorder="1" applyAlignment="1">
      <alignment horizontal="center" vertical="center"/>
    </xf>
    <xf numFmtId="2" fontId="621" fillId="0" borderId="164" xfId="0" applyNumberFormat="1" applyFont="1" applyFill="1" applyBorder="1" applyAlignment="1">
      <alignment horizontal="center" vertical="center"/>
    </xf>
    <xf numFmtId="49" fontId="478" fillId="4" borderId="163" xfId="0" applyNumberFormat="1" applyFont="1" applyFill="1" applyBorder="1" applyAlignment="1">
      <alignment horizontal="center" vertical="center"/>
    </xf>
    <xf numFmtId="49" fontId="144" fillId="10" borderId="57" xfId="0" applyNumberFormat="1" applyFont="1" applyFill="1" applyBorder="1" applyAlignment="1">
      <alignment horizontal="center" vertical="center"/>
    </xf>
    <xf numFmtId="2" fontId="159" fillId="10" borderId="57" xfId="0" applyNumberFormat="1" applyFont="1" applyFill="1" applyBorder="1" applyAlignment="1">
      <alignment horizontal="center" vertical="center"/>
    </xf>
    <xf numFmtId="2" fontId="250" fillId="10" borderId="185" xfId="0" applyNumberFormat="1" applyFont="1" applyFill="1" applyBorder="1" applyAlignment="1">
      <alignment horizontal="center" vertical="center"/>
    </xf>
    <xf numFmtId="0" fontId="744" fillId="10" borderId="160" xfId="0" applyFont="1" applyFill="1" applyBorder="1" applyAlignment="1">
      <alignment horizontal="center" vertical="center"/>
    </xf>
    <xf numFmtId="49" fontId="616" fillId="10" borderId="8" xfId="0" applyNumberFormat="1" applyFont="1" applyFill="1" applyBorder="1" applyAlignment="1">
      <alignment horizontal="center" vertical="center"/>
    </xf>
    <xf numFmtId="2" fontId="595" fillId="10" borderId="8" xfId="0" applyNumberFormat="1" applyFont="1" applyFill="1" applyBorder="1" applyAlignment="1">
      <alignment horizontal="center" vertical="center"/>
    </xf>
    <xf numFmtId="2" fontId="595" fillId="10" borderId="8" xfId="43" applyNumberFormat="1" applyFont="1" applyFill="1" applyBorder="1" applyAlignment="1">
      <alignment horizontal="center" vertical="center" shrinkToFit="1"/>
    </xf>
    <xf numFmtId="2" fontId="595" fillId="10" borderId="164" xfId="0" applyNumberFormat="1" applyFont="1" applyFill="1" applyBorder="1" applyAlignment="1">
      <alignment horizontal="center" vertical="center"/>
    </xf>
    <xf numFmtId="49" fontId="168" fillId="10" borderId="59" xfId="0" applyNumberFormat="1" applyFont="1" applyFill="1" applyBorder="1" applyAlignment="1">
      <alignment horizontal="center" vertical="center"/>
    </xf>
    <xf numFmtId="2" fontId="169" fillId="10" borderId="59" xfId="0" applyNumberFormat="1" applyFont="1" applyFill="1" applyBorder="1" applyAlignment="1">
      <alignment horizontal="center" vertical="center"/>
    </xf>
    <xf numFmtId="2" fontId="276" fillId="10" borderId="187" xfId="0" applyNumberFormat="1" applyFont="1" applyFill="1" applyBorder="1" applyAlignment="1">
      <alignment horizontal="center" vertical="center"/>
    </xf>
    <xf numFmtId="0" fontId="746" fillId="10" borderId="160" xfId="0" applyFont="1" applyFill="1" applyBorder="1" applyAlignment="1">
      <alignment horizontal="center" vertical="center"/>
    </xf>
    <xf numFmtId="49" fontId="724" fillId="10" borderId="8" xfId="0" applyNumberFormat="1" applyFont="1" applyFill="1" applyBorder="1" applyAlignment="1">
      <alignment horizontal="center" vertical="center"/>
    </xf>
    <xf numFmtId="2" fontId="630" fillId="10" borderId="8" xfId="43" applyNumberFormat="1" applyFont="1" applyFill="1" applyBorder="1" applyAlignment="1">
      <alignment horizontal="center" vertical="center" shrinkToFit="1"/>
    </xf>
    <xf numFmtId="2" fontId="630" fillId="10" borderId="164" xfId="0" applyNumberFormat="1" applyFont="1" applyFill="1" applyBorder="1" applyAlignment="1">
      <alignment horizontal="center" vertical="center"/>
    </xf>
    <xf numFmtId="49" fontId="149" fillId="10" borderId="189" xfId="0" applyNumberFormat="1" applyFont="1" applyFill="1" applyBorder="1" applyAlignment="1">
      <alignment horizontal="center" vertical="center"/>
    </xf>
    <xf numFmtId="2" fontId="150" fillId="10" borderId="189" xfId="0" applyNumberFormat="1" applyFont="1" applyFill="1" applyBorder="1" applyAlignment="1">
      <alignment horizontal="center" vertical="center"/>
    </xf>
    <xf numFmtId="2" fontId="233" fillId="10" borderId="190" xfId="0" applyNumberFormat="1" applyFont="1" applyFill="1" applyBorder="1" applyAlignment="1">
      <alignment horizontal="center" vertical="center"/>
    </xf>
    <xf numFmtId="0" fontId="289" fillId="10" borderId="165" xfId="0" applyFont="1" applyFill="1" applyBorder="1" applyAlignment="1">
      <alignment horizontal="center" vertical="center"/>
    </xf>
    <xf numFmtId="49" fontId="149" fillId="10" borderId="166" xfId="0" applyNumberFormat="1" applyFont="1" applyFill="1" applyBorder="1" applyAlignment="1">
      <alignment horizontal="center" vertical="center"/>
    </xf>
    <xf numFmtId="2" fontId="150" fillId="10" borderId="166" xfId="43" applyNumberFormat="1" applyFont="1" applyFill="1" applyBorder="1" applyAlignment="1">
      <alignment horizontal="center" vertical="center" shrinkToFit="1"/>
    </xf>
    <xf numFmtId="2" fontId="150" fillId="10" borderId="167" xfId="0" applyNumberFormat="1" applyFont="1" applyFill="1" applyBorder="1" applyAlignment="1">
      <alignment horizontal="center" vertical="center"/>
    </xf>
    <xf numFmtId="0" fontId="604" fillId="2" borderId="8" xfId="0" applyFont="1" applyFill="1" applyBorder="1" applyAlignment="1">
      <alignment horizontal="center" vertical="center"/>
    </xf>
    <xf numFmtId="0" fontId="589" fillId="2" borderId="8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592" fillId="2" borderId="8" xfId="0" applyFont="1" applyFill="1" applyBorder="1" applyAlignment="1">
      <alignment horizontal="center" vertical="center"/>
    </xf>
    <xf numFmtId="0" fontId="591" fillId="2" borderId="8" xfId="0" applyFont="1" applyFill="1" applyBorder="1" applyAlignment="1">
      <alignment horizontal="center" vertical="center"/>
    </xf>
    <xf numFmtId="0" fontId="163" fillId="2" borderId="8" xfId="0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49" fontId="99" fillId="2" borderId="8" xfId="0" applyNumberFormat="1" applyFont="1" applyFill="1" applyBorder="1" applyAlignment="1">
      <alignment horizontal="center" vertical="center"/>
    </xf>
    <xf numFmtId="49" fontId="98" fillId="2" borderId="8" xfId="0" applyNumberFormat="1" applyFont="1" applyFill="1" applyBorder="1" applyAlignment="1">
      <alignment horizontal="center" vertical="center"/>
    </xf>
    <xf numFmtId="0" fontId="155" fillId="2" borderId="11" xfId="0" applyNumberFormat="1" applyFont="1" applyFill="1" applyBorder="1" applyAlignment="1">
      <alignment horizontal="center" vertical="center"/>
    </xf>
    <xf numFmtId="0" fontId="349" fillId="10" borderId="184" xfId="0" applyNumberFormat="1" applyFont="1" applyFill="1" applyBorder="1" applyAlignment="1">
      <alignment horizontal="center" vertical="center"/>
    </xf>
    <xf numFmtId="0" fontId="331" fillId="2" borderId="186" xfId="0" applyNumberFormat="1" applyFont="1" applyFill="1" applyBorder="1" applyAlignment="1">
      <alignment horizontal="center" vertical="center"/>
    </xf>
    <xf numFmtId="0" fontId="322" fillId="10" borderId="186" xfId="0" applyNumberFormat="1" applyFont="1" applyFill="1" applyBorder="1" applyAlignment="1">
      <alignment horizontal="center" vertical="center"/>
    </xf>
    <xf numFmtId="0" fontId="312" fillId="2" borderId="186" xfId="0" applyNumberFormat="1" applyFont="1" applyFill="1" applyBorder="1" applyAlignment="1">
      <alignment horizontal="center" vertical="center"/>
    </xf>
    <xf numFmtId="0" fontId="389" fillId="2" borderId="186" xfId="0" applyNumberFormat="1" applyFont="1" applyFill="1" applyBorder="1" applyAlignment="1">
      <alignment horizontal="center" vertical="center"/>
    </xf>
    <xf numFmtId="0" fontId="378" fillId="2" borderId="186" xfId="0" applyNumberFormat="1" applyFont="1" applyFill="1" applyBorder="1" applyAlignment="1">
      <alignment horizontal="center" vertical="center"/>
    </xf>
    <xf numFmtId="0" fontId="292" fillId="2" borderId="186" xfId="0" applyNumberFormat="1" applyFont="1" applyFill="1" applyBorder="1" applyAlignment="1">
      <alignment horizontal="center" vertical="center"/>
    </xf>
    <xf numFmtId="0" fontId="361" fillId="2" borderId="186" xfId="0" applyNumberFormat="1" applyFont="1" applyFill="1" applyBorder="1" applyAlignment="1">
      <alignment horizontal="center" vertical="center"/>
    </xf>
    <xf numFmtId="0" fontId="243" fillId="2" borderId="186" xfId="0" applyNumberFormat="1" applyFont="1" applyFill="1" applyBorder="1" applyAlignment="1">
      <alignment horizontal="center" vertical="center"/>
    </xf>
    <xf numFmtId="0" fontId="343" fillId="10" borderId="188" xfId="0" applyNumberFormat="1" applyFont="1" applyFill="1" applyBorder="1" applyAlignment="1">
      <alignment horizontal="center" vertical="center"/>
    </xf>
    <xf numFmtId="0" fontId="592" fillId="2" borderId="8" xfId="0" applyFont="1" applyFill="1" applyBorder="1" applyAlignment="1">
      <alignment horizontal="center" vertical="center"/>
    </xf>
    <xf numFmtId="0" fontId="591" fillId="2" borderId="8" xfId="0" applyFont="1" applyFill="1" applyBorder="1" applyAlignment="1">
      <alignment horizontal="center" vertical="center"/>
    </xf>
    <xf numFmtId="179" fontId="35" fillId="2" borderId="8" xfId="0" applyNumberFormat="1" applyFont="1" applyFill="1" applyBorder="1" applyAlignment="1">
      <alignment horizontal="center" vertical="center"/>
    </xf>
    <xf numFmtId="49" fontId="26" fillId="2" borderId="8" xfId="0" applyNumberFormat="1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595" fillId="2" borderId="8" xfId="0" applyFont="1" applyFill="1" applyBorder="1" applyAlignment="1">
      <alignment horizontal="center" vertical="center" wrapText="1"/>
    </xf>
    <xf numFmtId="0" fontId="163" fillId="2" borderId="8" xfId="0" applyFont="1" applyFill="1" applyBorder="1" applyAlignment="1">
      <alignment horizontal="center" vertical="center"/>
    </xf>
    <xf numFmtId="0" fontId="594" fillId="2" borderId="8" xfId="0" applyFont="1" applyFill="1" applyBorder="1" applyAlignment="1">
      <alignment horizontal="center" vertical="center"/>
    </xf>
    <xf numFmtId="49" fontId="606" fillId="0" borderId="8" xfId="0" applyNumberFormat="1" applyFont="1" applyBorder="1" applyAlignment="1">
      <alignment horizontal="center" vertical="center"/>
    </xf>
    <xf numFmtId="0" fontId="606" fillId="0" borderId="8" xfId="0" applyFont="1" applyBorder="1" applyAlignment="1">
      <alignment horizontal="center" vertical="center"/>
    </xf>
    <xf numFmtId="0" fontId="593" fillId="2" borderId="8" xfId="0" applyFont="1" applyFill="1" applyBorder="1" applyAlignment="1">
      <alignment horizontal="center" vertical="center"/>
    </xf>
    <xf numFmtId="0" fontId="590" fillId="2" borderId="8" xfId="0" applyFont="1" applyFill="1" applyBorder="1" applyAlignment="1">
      <alignment horizontal="center" vertical="center"/>
    </xf>
    <xf numFmtId="0" fontId="604" fillId="2" borderId="8" xfId="0" applyFont="1" applyFill="1" applyBorder="1" applyAlignment="1">
      <alignment horizontal="center" vertical="center"/>
    </xf>
    <xf numFmtId="0" fontId="589" fillId="2" borderId="8" xfId="0" applyFont="1" applyFill="1" applyBorder="1" applyAlignment="1">
      <alignment horizontal="center" vertical="center"/>
    </xf>
    <xf numFmtId="0" fontId="588" fillId="2" borderId="8" xfId="0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0" borderId="8" xfId="0" applyFont="1" applyBorder="1" applyAlignment="1"/>
    <xf numFmtId="49" fontId="108" fillId="2" borderId="8" xfId="0" applyNumberFormat="1" applyFont="1" applyFill="1" applyBorder="1" applyAlignment="1">
      <alignment horizontal="center" vertical="center"/>
    </xf>
    <xf numFmtId="2" fontId="108" fillId="2" borderId="8" xfId="0" applyNumberFormat="1" applyFont="1" applyFill="1" applyBorder="1" applyAlignment="1">
      <alignment horizontal="center" vertical="center"/>
    </xf>
    <xf numFmtId="49" fontId="106" fillId="2" borderId="8" xfId="0" applyNumberFormat="1" applyFont="1" applyFill="1" applyBorder="1" applyAlignment="1">
      <alignment horizontal="center" vertical="center"/>
    </xf>
    <xf numFmtId="2" fontId="106" fillId="2" borderId="8" xfId="0" applyNumberFormat="1" applyFont="1" applyFill="1" applyBorder="1" applyAlignment="1">
      <alignment horizontal="center" vertical="center"/>
    </xf>
    <xf numFmtId="49" fontId="40" fillId="4" borderId="8" xfId="0" applyNumberFormat="1" applyFont="1" applyFill="1" applyBorder="1" applyAlignment="1">
      <alignment horizontal="center" vertical="center"/>
    </xf>
    <xf numFmtId="0" fontId="40" fillId="4" borderId="8" xfId="0" applyFont="1" applyFill="1" applyBorder="1" applyAlignment="1">
      <alignment horizontal="center" vertical="center"/>
    </xf>
    <xf numFmtId="49" fontId="105" fillId="2" borderId="8" xfId="0" applyNumberFormat="1" applyFont="1" applyFill="1" applyBorder="1" applyAlignment="1">
      <alignment horizontal="center" vertical="center"/>
    </xf>
    <xf numFmtId="2" fontId="105" fillId="2" borderId="8" xfId="0" applyNumberFormat="1" applyFont="1" applyFill="1" applyBorder="1" applyAlignment="1">
      <alignment horizontal="center" vertical="center"/>
    </xf>
    <xf numFmtId="49" fontId="102" fillId="2" borderId="8" xfId="0" applyNumberFormat="1" applyFont="1" applyFill="1" applyBorder="1" applyAlignment="1">
      <alignment horizontal="center" vertical="center"/>
    </xf>
    <xf numFmtId="2" fontId="102" fillId="2" borderId="8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2" fontId="14" fillId="2" borderId="8" xfId="0" applyNumberFormat="1" applyFont="1" applyFill="1" applyBorder="1" applyAlignment="1">
      <alignment horizontal="center" vertical="center"/>
    </xf>
    <xf numFmtId="49" fontId="100" fillId="2" borderId="8" xfId="0" applyNumberFormat="1" applyFont="1" applyFill="1" applyBorder="1" applyAlignment="1">
      <alignment horizontal="center" vertical="center"/>
    </xf>
    <xf numFmtId="2" fontId="100" fillId="2" borderId="8" xfId="0" applyNumberFormat="1" applyFont="1" applyFill="1" applyBorder="1" applyAlignment="1">
      <alignment horizontal="center" vertical="center"/>
    </xf>
    <xf numFmtId="49" fontId="99" fillId="2" borderId="8" xfId="0" applyNumberFormat="1" applyFont="1" applyFill="1" applyBorder="1" applyAlignment="1">
      <alignment horizontal="center" vertical="center"/>
    </xf>
    <xf numFmtId="2" fontId="99" fillId="2" borderId="8" xfId="0" applyNumberFormat="1" applyFont="1" applyFill="1" applyBorder="1" applyAlignment="1">
      <alignment horizontal="center" vertical="center"/>
    </xf>
    <xf numFmtId="49" fontId="98" fillId="2" borderId="8" xfId="0" applyNumberFormat="1" applyFont="1" applyFill="1" applyBorder="1" applyAlignment="1">
      <alignment horizontal="center" vertical="center"/>
    </xf>
    <xf numFmtId="2" fontId="98" fillId="2" borderId="8" xfId="0" applyNumberFormat="1" applyFont="1" applyFill="1" applyBorder="1" applyAlignment="1">
      <alignment horizontal="center" vertical="center"/>
    </xf>
    <xf numFmtId="49" fontId="86" fillId="2" borderId="8" xfId="0" applyNumberFormat="1" applyFont="1" applyFill="1" applyBorder="1" applyAlignment="1">
      <alignment horizontal="center" vertical="center"/>
    </xf>
    <xf numFmtId="0" fontId="86" fillId="2" borderId="8" xfId="0" applyFont="1" applyFill="1" applyBorder="1" applyAlignment="1">
      <alignment horizontal="center" vertical="center"/>
    </xf>
    <xf numFmtId="49" fontId="336" fillId="6" borderId="55" xfId="0" applyNumberFormat="1" applyFont="1" applyFill="1" applyBorder="1" applyAlignment="1">
      <alignment horizontal="center" vertical="center"/>
    </xf>
    <xf numFmtId="0" fontId="336" fillId="6" borderId="55" xfId="0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739" fillId="2" borderId="8" xfId="0" applyNumberFormat="1" applyFont="1" applyFill="1" applyBorder="1" applyAlignment="1">
      <alignment horizontal="center" vertical="center"/>
    </xf>
    <xf numFmtId="0" fontId="739" fillId="2" borderId="8" xfId="0" applyFont="1" applyFill="1" applyBorder="1" applyAlignment="1">
      <alignment horizontal="center" vertical="center"/>
    </xf>
    <xf numFmtId="49" fontId="337" fillId="6" borderId="55" xfId="0" applyNumberFormat="1" applyFont="1" applyFill="1" applyBorder="1" applyAlignment="1">
      <alignment horizontal="center" vertical="center"/>
    </xf>
    <xf numFmtId="0" fontId="337" fillId="6" borderId="55" xfId="0" applyFont="1" applyFill="1" applyBorder="1" applyAlignment="1">
      <alignment horizontal="center" vertical="center"/>
    </xf>
    <xf numFmtId="49" fontId="338" fillId="2" borderId="8" xfId="0" applyNumberFormat="1" applyFont="1" applyFill="1" applyBorder="1" applyAlignment="1">
      <alignment horizontal="center" vertical="center"/>
    </xf>
    <xf numFmtId="0" fontId="338" fillId="2" borderId="8" xfId="0" applyFont="1" applyFill="1" applyBorder="1" applyAlignment="1">
      <alignment horizontal="center" vertical="center"/>
    </xf>
    <xf numFmtId="49" fontId="257" fillId="2" borderId="8" xfId="0" applyNumberFormat="1" applyFont="1" applyFill="1" applyBorder="1" applyAlignment="1">
      <alignment horizontal="center" vertical="center"/>
    </xf>
    <xf numFmtId="0" fontId="257" fillId="2" borderId="8" xfId="0" applyFont="1" applyFill="1" applyBorder="1" applyAlignment="1">
      <alignment horizontal="center" vertical="center"/>
    </xf>
    <xf numFmtId="49" fontId="396" fillId="2" borderId="8" xfId="0" applyNumberFormat="1" applyFont="1" applyFill="1" applyBorder="1" applyAlignment="1">
      <alignment horizontal="center" vertical="center"/>
    </xf>
    <xf numFmtId="0" fontId="396" fillId="2" borderId="8" xfId="0" applyFont="1" applyFill="1" applyBorder="1" applyAlignment="1">
      <alignment horizontal="center" vertical="center"/>
    </xf>
    <xf numFmtId="0" fontId="688" fillId="2" borderId="8" xfId="0" applyFont="1" applyFill="1" applyBorder="1" applyAlignment="1">
      <alignment horizontal="center" vertical="center"/>
    </xf>
    <xf numFmtId="49" fontId="407" fillId="2" borderId="79" xfId="0" applyNumberFormat="1" applyFont="1" applyFill="1" applyBorder="1" applyAlignment="1">
      <alignment horizontal="center" vertical="center"/>
    </xf>
    <xf numFmtId="0" fontId="407" fillId="2" borderId="80" xfId="0" applyFont="1" applyFill="1" applyBorder="1" applyAlignment="1">
      <alignment horizontal="center" vertical="center"/>
    </xf>
    <xf numFmtId="0" fontId="407" fillId="2" borderId="84" xfId="0" applyFont="1" applyFill="1" applyBorder="1" applyAlignment="1">
      <alignment horizontal="center" vertical="center"/>
    </xf>
    <xf numFmtId="49" fontId="472" fillId="2" borderId="8" xfId="0" applyNumberFormat="1" applyFont="1" applyFill="1" applyBorder="1" applyAlignment="1">
      <alignment horizontal="right" vertical="center"/>
    </xf>
    <xf numFmtId="2" fontId="472" fillId="2" borderId="8" xfId="0" applyNumberFormat="1" applyFont="1" applyFill="1" applyBorder="1" applyAlignment="1">
      <alignment horizontal="right" vertical="center"/>
    </xf>
    <xf numFmtId="49" fontId="442" fillId="9" borderId="70" xfId="0" applyNumberFormat="1" applyFont="1" applyFill="1" applyBorder="1" applyAlignment="1">
      <alignment horizontal="center" vertical="center"/>
    </xf>
    <xf numFmtId="0" fontId="442" fillId="9" borderId="70" xfId="0" applyFont="1" applyFill="1" applyBorder="1" applyAlignment="1">
      <alignment horizontal="center" vertical="center"/>
    </xf>
    <xf numFmtId="49" fontId="131" fillId="4" borderId="31" xfId="0" applyNumberFormat="1" applyFont="1" applyFill="1" applyBorder="1" applyAlignment="1">
      <alignment horizontal="center" vertical="center"/>
    </xf>
    <xf numFmtId="0" fontId="131" fillId="4" borderId="31" xfId="0" applyFont="1" applyFill="1" applyBorder="1" applyAlignment="1">
      <alignment horizontal="center" vertical="center"/>
    </xf>
    <xf numFmtId="49" fontId="126" fillId="2" borderId="22" xfId="0" applyNumberFormat="1" applyFont="1" applyFill="1" applyBorder="1" applyAlignment="1">
      <alignment horizontal="center"/>
    </xf>
    <xf numFmtId="0" fontId="126" fillId="2" borderId="22" xfId="0" applyFont="1" applyFill="1" applyBorder="1" applyAlignment="1">
      <alignment horizontal="center"/>
    </xf>
    <xf numFmtId="49" fontId="124" fillId="2" borderId="22" xfId="0" applyNumberFormat="1" applyFont="1" applyFill="1" applyBorder="1" applyAlignment="1">
      <alignment horizontal="center"/>
    </xf>
    <xf numFmtId="0" fontId="124" fillId="2" borderId="22" xfId="0" applyFont="1" applyFill="1" applyBorder="1" applyAlignment="1">
      <alignment horizontal="center"/>
    </xf>
    <xf numFmtId="49" fontId="123" fillId="2" borderId="8" xfId="0" applyNumberFormat="1" applyFont="1" applyFill="1" applyBorder="1" applyAlignment="1">
      <alignment horizontal="center"/>
    </xf>
    <xf numFmtId="0" fontId="123" fillId="2" borderId="22" xfId="0" applyFont="1" applyFill="1" applyBorder="1" applyAlignment="1">
      <alignment horizontal="center"/>
    </xf>
    <xf numFmtId="0" fontId="123" fillId="2" borderId="8" xfId="0" applyFont="1" applyFill="1" applyBorder="1" applyAlignment="1">
      <alignment horizontal="center"/>
    </xf>
    <xf numFmtId="49" fontId="121" fillId="2" borderId="22" xfId="0" applyNumberFormat="1" applyFont="1" applyFill="1" applyBorder="1" applyAlignment="1">
      <alignment horizontal="center"/>
    </xf>
    <xf numFmtId="0" fontId="121" fillId="2" borderId="22" xfId="0" applyFont="1" applyFill="1" applyBorder="1" applyAlignment="1">
      <alignment horizontal="center"/>
    </xf>
    <xf numFmtId="49" fontId="125" fillId="2" borderId="22" xfId="0" applyNumberFormat="1" applyFont="1" applyFill="1" applyBorder="1" applyAlignment="1">
      <alignment horizontal="center"/>
    </xf>
    <xf numFmtId="0" fontId="125" fillId="2" borderId="22" xfId="0" applyFont="1" applyFill="1" applyBorder="1" applyAlignment="1">
      <alignment horizontal="center"/>
    </xf>
    <xf numFmtId="49" fontId="626" fillId="2" borderId="166" xfId="0" applyNumberFormat="1" applyFont="1" applyFill="1" applyBorder="1" applyAlignment="1">
      <alignment horizontal="center" vertical="center"/>
    </xf>
    <xf numFmtId="49" fontId="666" fillId="2" borderId="8" xfId="0" applyNumberFormat="1" applyFont="1" applyFill="1" applyBorder="1" applyAlignment="1">
      <alignment horizontal="center" vertical="center"/>
    </xf>
    <xf numFmtId="0" fontId="666" fillId="2" borderId="8" xfId="0" applyFont="1" applyFill="1" applyBorder="1" applyAlignment="1">
      <alignment horizontal="center" vertical="center"/>
    </xf>
    <xf numFmtId="49" fontId="409" fillId="2" borderId="8" xfId="0" applyNumberFormat="1" applyFont="1" applyFill="1" applyBorder="1" applyAlignment="1">
      <alignment horizontal="center" vertical="center"/>
    </xf>
    <xf numFmtId="0" fontId="409" fillId="2" borderId="8" xfId="0" applyFont="1" applyFill="1" applyBorder="1" applyAlignment="1">
      <alignment horizontal="center" vertical="center"/>
    </xf>
    <xf numFmtId="49" fontId="442" fillId="8" borderId="55" xfId="0" applyNumberFormat="1" applyFont="1" applyFill="1" applyBorder="1" applyAlignment="1">
      <alignment horizontal="center" vertical="center"/>
    </xf>
    <xf numFmtId="0" fontId="442" fillId="8" borderId="55" xfId="0" applyFont="1" applyFill="1" applyBorder="1" applyAlignment="1">
      <alignment horizontal="center" vertical="center"/>
    </xf>
    <xf numFmtId="0" fontId="407" fillId="2" borderId="79" xfId="0" applyFont="1" applyFill="1" applyBorder="1" applyAlignment="1">
      <alignment horizontal="center" vertical="center"/>
    </xf>
    <xf numFmtId="49" fontId="442" fillId="8" borderId="70" xfId="0" applyNumberFormat="1" applyFont="1" applyFill="1" applyBorder="1" applyAlignment="1">
      <alignment horizontal="center" vertical="center"/>
    </xf>
    <xf numFmtId="0" fontId="442" fillId="8" borderId="70" xfId="0" applyFont="1" applyFill="1" applyBorder="1" applyAlignment="1">
      <alignment horizontal="center" vertical="center"/>
    </xf>
    <xf numFmtId="49" fontId="128" fillId="8" borderId="35" xfId="0" applyNumberFormat="1" applyFont="1" applyFill="1" applyBorder="1" applyAlignment="1">
      <alignment horizontal="center" vertical="center"/>
    </xf>
    <xf numFmtId="0" fontId="128" fillId="8" borderId="35" xfId="0" applyFont="1" applyFill="1" applyBorder="1" applyAlignment="1">
      <alignment horizontal="center" vertical="center"/>
    </xf>
    <xf numFmtId="49" fontId="128" fillId="8" borderId="70" xfId="0" applyNumberFormat="1" applyFont="1" applyFill="1" applyBorder="1" applyAlignment="1">
      <alignment horizontal="center" vertical="center"/>
    </xf>
    <xf numFmtId="0" fontId="128" fillId="8" borderId="70" xfId="0" applyFont="1" applyFill="1" applyBorder="1" applyAlignment="1">
      <alignment horizontal="center" vertical="center"/>
    </xf>
    <xf numFmtId="49" fontId="64" fillId="0" borderId="8" xfId="0" applyNumberFormat="1" applyFont="1" applyBorder="1" applyAlignment="1">
      <alignment horizontal="center"/>
    </xf>
    <xf numFmtId="0" fontId="679" fillId="0" borderId="173" xfId="0" applyFont="1" applyBorder="1" applyAlignment="1">
      <alignment horizontal="center" vertical="center"/>
    </xf>
    <xf numFmtId="0" fontId="679" fillId="0" borderId="174" xfId="0" applyFont="1" applyBorder="1" applyAlignment="1">
      <alignment horizontal="center" vertical="center"/>
    </xf>
    <xf numFmtId="0" fontId="681" fillId="2" borderId="165" xfId="0" applyFont="1" applyFill="1" applyBorder="1" applyAlignment="1">
      <alignment horizontal="center" vertical="center"/>
    </xf>
    <xf numFmtId="0" fontId="681" fillId="2" borderId="167" xfId="0" applyFont="1" applyFill="1" applyBorder="1" applyAlignment="1">
      <alignment horizontal="center" vertical="center"/>
    </xf>
    <xf numFmtId="0" fontId="680" fillId="2" borderId="165" xfId="0" applyFont="1" applyFill="1" applyBorder="1" applyAlignment="1">
      <alignment horizontal="center" vertical="center"/>
    </xf>
    <xf numFmtId="0" fontId="680" fillId="2" borderId="167" xfId="0" applyFont="1" applyFill="1" applyBorder="1" applyAlignment="1">
      <alignment horizontal="center" vertical="center"/>
    </xf>
    <xf numFmtId="0" fontId="490" fillId="6" borderId="14" xfId="0" applyFont="1" applyFill="1" applyBorder="1" applyAlignment="1">
      <alignment horizontal="center" vertical="center"/>
    </xf>
    <xf numFmtId="0" fontId="679" fillId="2" borderId="182" xfId="0" applyFont="1" applyFill="1" applyBorder="1" applyAlignment="1">
      <alignment horizontal="center" vertical="center"/>
    </xf>
    <xf numFmtId="0" fontId="679" fillId="2" borderId="180" xfId="0" applyFont="1" applyFill="1" applyBorder="1" applyAlignment="1">
      <alignment horizontal="center" vertical="center"/>
    </xf>
    <xf numFmtId="0" fontId="679" fillId="2" borderId="173" xfId="0" applyFont="1" applyFill="1" applyBorder="1" applyAlignment="1">
      <alignment horizontal="center" vertical="center"/>
    </xf>
    <xf numFmtId="0" fontId="679" fillId="2" borderId="174" xfId="0" applyFont="1" applyFill="1" applyBorder="1" applyAlignment="1">
      <alignment horizontal="center" vertical="center"/>
    </xf>
    <xf numFmtId="2" fontId="188" fillId="2" borderId="114" xfId="0" applyNumberFormat="1" applyFont="1" applyFill="1" applyBorder="1" applyAlignment="1">
      <alignment horizontal="center" vertical="center"/>
    </xf>
    <xf numFmtId="0" fontId="280" fillId="2" borderId="98" xfId="0" applyFont="1" applyFill="1" applyBorder="1" applyAlignment="1">
      <alignment horizontal="center" vertical="center"/>
    </xf>
    <xf numFmtId="0" fontId="280" fillId="2" borderId="100" xfId="0" applyFont="1" applyFill="1" applyBorder="1" applyAlignment="1">
      <alignment horizontal="center" vertical="center"/>
    </xf>
    <xf numFmtId="0" fontId="679" fillId="2" borderId="98" xfId="0" applyFont="1" applyFill="1" applyBorder="1" applyAlignment="1">
      <alignment horizontal="center" vertical="center"/>
    </xf>
    <xf numFmtId="49" fontId="64" fillId="2" borderId="161" xfId="0" applyNumberFormat="1" applyFont="1" applyFill="1" applyBorder="1" applyAlignment="1">
      <alignment horizontal="center" vertical="center"/>
    </xf>
    <xf numFmtId="49" fontId="64" fillId="2" borderId="162" xfId="0" applyNumberFormat="1" applyFont="1" applyFill="1" applyBorder="1" applyAlignment="1">
      <alignment horizontal="center" vertical="center"/>
    </xf>
    <xf numFmtId="49" fontId="64" fillId="2" borderId="163" xfId="0" applyNumberFormat="1" applyFont="1" applyFill="1" applyBorder="1" applyAlignment="1">
      <alignment horizontal="center" vertical="center"/>
    </xf>
    <xf numFmtId="49" fontId="164" fillId="2" borderId="117" xfId="0" applyNumberFormat="1" applyFont="1" applyFill="1" applyBorder="1" applyAlignment="1">
      <alignment horizontal="center" vertical="center" wrapText="1"/>
    </xf>
    <xf numFmtId="0" fontId="164" fillId="2" borderId="117" xfId="0" applyFont="1" applyFill="1" applyBorder="1" applyAlignment="1">
      <alignment horizontal="center" vertical="center" wrapText="1"/>
    </xf>
    <xf numFmtId="0" fontId="164" fillId="2" borderId="122" xfId="0" applyFont="1" applyFill="1" applyBorder="1" applyAlignment="1">
      <alignment horizontal="center" vertical="center" wrapText="1"/>
    </xf>
    <xf numFmtId="0" fontId="37" fillId="2" borderId="111" xfId="0" applyFont="1" applyFill="1" applyBorder="1" applyAlignment="1">
      <alignment horizontal="center" vertical="center"/>
    </xf>
    <xf numFmtId="49" fontId="154" fillId="4" borderId="142" xfId="0" applyNumberFormat="1" applyFont="1" applyFill="1" applyBorder="1" applyAlignment="1">
      <alignment horizontal="center" vertical="center"/>
    </xf>
    <xf numFmtId="0" fontId="154" fillId="4" borderId="142" xfId="0" applyFont="1" applyFill="1" applyBorder="1" applyAlignment="1">
      <alignment horizontal="center" vertical="center"/>
    </xf>
    <xf numFmtId="49" fontId="119" fillId="4" borderId="88" xfId="0" applyNumberFormat="1" applyFont="1" applyFill="1" applyBorder="1" applyAlignment="1">
      <alignment horizontal="center" vertical="center"/>
    </xf>
    <xf numFmtId="0" fontId="119" fillId="4" borderId="88" xfId="0" applyFont="1" applyFill="1" applyBorder="1" applyAlignment="1">
      <alignment horizontal="center" vertical="center"/>
    </xf>
    <xf numFmtId="0" fontId="119" fillId="4" borderId="89" xfId="0" applyFont="1" applyFill="1" applyBorder="1" applyAlignment="1">
      <alignment horizontal="center" vertical="center"/>
    </xf>
    <xf numFmtId="0" fontId="680" fillId="2" borderId="161" xfId="0" applyFont="1" applyFill="1" applyBorder="1" applyAlignment="1">
      <alignment horizontal="center" vertical="center"/>
    </xf>
    <xf numFmtId="0" fontId="680" fillId="2" borderId="163" xfId="0" applyFont="1" applyFill="1" applyBorder="1" applyAlignment="1">
      <alignment horizontal="center" vertical="center"/>
    </xf>
    <xf numFmtId="0" fontId="681" fillId="2" borderId="161" xfId="0" applyFont="1" applyFill="1" applyBorder="1" applyAlignment="1">
      <alignment horizontal="center" vertical="center"/>
    </xf>
    <xf numFmtId="0" fontId="681" fillId="2" borderId="163" xfId="0" applyFont="1" applyFill="1" applyBorder="1" applyAlignment="1">
      <alignment horizontal="center" vertical="center"/>
    </xf>
    <xf numFmtId="0" fontId="37" fillId="2" borderId="112" xfId="0" applyFont="1" applyFill="1" applyBorder="1" applyAlignment="1">
      <alignment horizontal="center" vertical="center"/>
    </xf>
    <xf numFmtId="0" fontId="37" fillId="2" borderId="98" xfId="0" applyFont="1" applyFill="1" applyBorder="1" applyAlignment="1">
      <alignment horizontal="center" vertical="center"/>
    </xf>
    <xf numFmtId="49" fontId="118" fillId="4" borderId="88" xfId="0" applyNumberFormat="1" applyFont="1" applyFill="1" applyBorder="1" applyAlignment="1">
      <alignment horizontal="center" vertical="center"/>
    </xf>
    <xf numFmtId="0" fontId="118" fillId="4" borderId="88" xfId="0" applyFont="1" applyFill="1" applyBorder="1" applyAlignment="1">
      <alignment horizontal="center" vertical="center"/>
    </xf>
    <xf numFmtId="0" fontId="118" fillId="4" borderId="89" xfId="0" applyFont="1" applyFill="1" applyBorder="1" applyAlignment="1">
      <alignment horizontal="center" vertical="center"/>
    </xf>
    <xf numFmtId="0" fontId="679" fillId="2" borderId="176" xfId="0" applyFont="1" applyFill="1" applyBorder="1" applyAlignment="1">
      <alignment horizontal="center" vertical="center"/>
    </xf>
    <xf numFmtId="0" fontId="679" fillId="2" borderId="177" xfId="0" applyFont="1" applyFill="1" applyBorder="1" applyAlignment="1">
      <alignment horizontal="center" vertical="center"/>
    </xf>
    <xf numFmtId="0" fontId="679" fillId="2" borderId="175" xfId="0" applyFont="1" applyFill="1" applyBorder="1" applyAlignment="1">
      <alignment horizontal="center" vertical="center"/>
    </xf>
    <xf numFmtId="2" fontId="188" fillId="2" borderId="102" xfId="0" applyNumberFormat="1" applyFont="1" applyFill="1" applyBorder="1" applyAlignment="1">
      <alignment horizontal="center" vertical="center"/>
    </xf>
    <xf numFmtId="2" fontId="188" fillId="2" borderId="103" xfId="0" applyNumberFormat="1" applyFont="1" applyFill="1" applyBorder="1" applyAlignment="1">
      <alignment horizontal="center" vertical="center"/>
    </xf>
    <xf numFmtId="49" fontId="154" fillId="4" borderId="8" xfId="0" applyNumberFormat="1" applyFont="1" applyFill="1" applyBorder="1" applyAlignment="1">
      <alignment horizontal="center" vertical="center"/>
    </xf>
    <xf numFmtId="0" fontId="154" fillId="4" borderId="8" xfId="0" applyFont="1" applyFill="1" applyBorder="1" applyAlignment="1">
      <alignment horizontal="center" vertical="center"/>
    </xf>
    <xf numFmtId="2" fontId="188" fillId="2" borderId="115" xfId="0" applyNumberFormat="1" applyFont="1" applyFill="1" applyBorder="1" applyAlignment="1">
      <alignment horizontal="center" vertical="center"/>
    </xf>
    <xf numFmtId="49" fontId="356" fillId="0" borderId="12" xfId="0" applyNumberFormat="1" applyFont="1" applyBorder="1" applyAlignment="1">
      <alignment horizontal="center"/>
    </xf>
    <xf numFmtId="1" fontId="356" fillId="0" borderId="55" xfId="0" applyNumberFormat="1" applyFont="1" applyBorder="1" applyAlignment="1">
      <alignment horizontal="center"/>
    </xf>
    <xf numFmtId="49" fontId="164" fillId="2" borderId="87" xfId="0" applyNumberFormat="1" applyFont="1" applyFill="1" applyBorder="1" applyAlignment="1">
      <alignment horizontal="center" vertical="center" wrapText="1"/>
    </xf>
    <xf numFmtId="0" fontId="164" fillId="2" borderId="92" xfId="0" applyFont="1" applyFill="1" applyBorder="1" applyAlignment="1">
      <alignment horizontal="center" vertical="center" wrapText="1"/>
    </xf>
    <xf numFmtId="0" fontId="164" fillId="2" borderId="95" xfId="0" applyFont="1" applyFill="1" applyBorder="1" applyAlignment="1">
      <alignment horizontal="center" vertical="center" wrapText="1"/>
    </xf>
    <xf numFmtId="0" fontId="621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752" fillId="0" borderId="0" xfId="0" applyFont="1" applyAlignment="1">
      <alignment horizontal="center"/>
    </xf>
    <xf numFmtId="218" fontId="245" fillId="2" borderId="8" xfId="0" applyNumberFormat="1" applyFont="1" applyFill="1" applyBorder="1" applyAlignment="1">
      <alignment horizontal="center" vertical="center"/>
    </xf>
    <xf numFmtId="0" fontId="638" fillId="0" borderId="8" xfId="0" applyNumberFormat="1" applyFont="1" applyBorder="1" applyAlignment="1">
      <alignment horizontal="center" vertical="center"/>
    </xf>
    <xf numFmtId="49" fontId="753" fillId="2" borderId="8" xfId="0" applyNumberFormat="1" applyFont="1" applyFill="1" applyBorder="1" applyAlignment="1">
      <alignment horizontal="center" vertical="center"/>
    </xf>
    <xf numFmtId="49" fontId="211" fillId="2" borderId="8" xfId="0" applyNumberFormat="1" applyFont="1" applyFill="1" applyBorder="1" applyAlignment="1">
      <alignment horizontal="center" vertical="center"/>
    </xf>
    <xf numFmtId="0" fontId="753" fillId="2" borderId="8" xfId="0" applyNumberFormat="1" applyFont="1" applyFill="1" applyBorder="1" applyAlignment="1">
      <alignment horizontal="center" vertical="center"/>
    </xf>
    <xf numFmtId="0" fontId="599" fillId="2" borderId="8" xfId="0" applyFont="1" applyFill="1" applyBorder="1" applyAlignment="1">
      <alignment horizontal="center" vertical="center"/>
    </xf>
    <xf numFmtId="0" fontId="188" fillId="2" borderId="8" xfId="0" applyNumberFormat="1" applyFont="1" applyFill="1" applyBorder="1" applyAlignment="1">
      <alignment horizontal="center" vertical="center"/>
    </xf>
    <xf numFmtId="0" fontId="465" fillId="2" borderId="8" xfId="0" applyFont="1" applyFill="1" applyBorder="1" applyAlignment="1">
      <alignment horizontal="center" vertical="center"/>
    </xf>
    <xf numFmtId="49" fontId="754" fillId="2" borderId="8" xfId="0" applyNumberFormat="1" applyFont="1" applyFill="1" applyBorder="1" applyAlignment="1">
      <alignment horizontal="center" vertical="center"/>
    </xf>
    <xf numFmtId="49" fontId="755" fillId="13" borderId="8" xfId="0" applyNumberFormat="1" applyFont="1" applyFill="1" applyBorder="1" applyAlignment="1">
      <alignment horizontal="center" vertical="center"/>
    </xf>
    <xf numFmtId="0" fontId="508" fillId="0" borderId="13" xfId="0" applyFont="1" applyBorder="1" applyAlignment="1"/>
    <xf numFmtId="218" fontId="397" fillId="2" borderId="8" xfId="0" applyNumberFormat="1" applyFont="1" applyFill="1" applyBorder="1" applyAlignment="1">
      <alignment horizontal="center" vertical="center"/>
    </xf>
    <xf numFmtId="0" fontId="597" fillId="2" borderId="8" xfId="0" applyFont="1" applyFill="1" applyBorder="1" applyAlignment="1">
      <alignment horizontal="center" vertical="center"/>
    </xf>
    <xf numFmtId="0" fontId="643" fillId="2" borderId="8" xfId="0" applyFont="1" applyFill="1" applyBorder="1" applyAlignment="1">
      <alignment horizontal="center" vertical="center"/>
    </xf>
    <xf numFmtId="0" fontId="598" fillId="2" borderId="8" xfId="0" applyFont="1" applyFill="1" applyBorder="1" applyAlignment="1">
      <alignment horizontal="center" vertical="center"/>
    </xf>
    <xf numFmtId="0" fontId="644" fillId="2" borderId="8" xfId="0" applyFont="1" applyFill="1" applyBorder="1" applyAlignment="1">
      <alignment horizontal="center" vertical="center"/>
    </xf>
    <xf numFmtId="0" fontId="601" fillId="2" borderId="8" xfId="0" applyFont="1" applyFill="1" applyBorder="1" applyAlignment="1">
      <alignment horizontal="center" vertical="center"/>
    </xf>
    <xf numFmtId="0" fontId="602" fillId="2" borderId="8" xfId="0" applyFont="1" applyFill="1" applyBorder="1" applyAlignment="1">
      <alignment horizontal="center" vertical="center"/>
    </xf>
    <xf numFmtId="0" fontId="685" fillId="2" borderId="8" xfId="0" applyFont="1" applyFill="1" applyBorder="1" applyAlignment="1">
      <alignment horizontal="center" vertical="center"/>
    </xf>
    <xf numFmtId="0" fontId="508" fillId="2" borderId="8" xfId="0" applyFont="1" applyFill="1" applyBorder="1" applyAlignment="1">
      <alignment vertical="center"/>
    </xf>
    <xf numFmtId="0" fontId="508" fillId="0" borderId="0" xfId="0" applyFont="1" applyAlignment="1"/>
  </cellXfs>
  <cellStyles count="60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4" builtinId="8" hidden="1"/>
    <cellStyle name="Lien hypertexte" xfId="46" builtinId="8" hidden="1"/>
    <cellStyle name="Lien hypertexte" xfId="48" builtinId="8" hidden="1"/>
    <cellStyle name="Lien hypertexte" xfId="50" builtinId="8" hidden="1"/>
    <cellStyle name="Lien hypertexte" xfId="52" builtinId="8" hidden="1"/>
    <cellStyle name="Lien hypertexte" xfId="54" builtinId="8" hidden="1"/>
    <cellStyle name="Lien hypertexte" xfId="56" builtinId="8" hidden="1"/>
    <cellStyle name="Lien hypertexte" xfId="58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5" builtinId="9" hidden="1"/>
    <cellStyle name="Lien hypertexte visité" xfId="47" builtinId="9" hidden="1"/>
    <cellStyle name="Lien hypertexte visité" xfId="49" builtinId="9" hidden="1"/>
    <cellStyle name="Lien hypertexte visité" xfId="51" builtinId="9" hidden="1"/>
    <cellStyle name="Lien hypertexte visité" xfId="53" builtinId="9" hidden="1"/>
    <cellStyle name="Lien hypertexte visité" xfId="55" builtinId="9" hidden="1"/>
    <cellStyle name="Lien hypertexte visité" xfId="57" builtinId="9" hidden="1"/>
    <cellStyle name="Lien hypertexte visité" xfId="59" builtinId="9" hidden="1"/>
    <cellStyle name="Normal" xfId="0" builtinId="0"/>
    <cellStyle name="Normal_DXA2.xls" xfId="43"/>
    <cellStyle name="Normal_PériApo" xfId="9"/>
    <cellStyle name="Pourcentage" xfId="10" builtinId="5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969696"/>
      <rgbColor rgb="FFFBF4E6"/>
      <rgbColor rgb="FF999999"/>
      <rgbColor rgb="FF2BD22B"/>
      <rgbColor rgb="FFFF00FF"/>
      <rgbColor rgb="FFE0CA56"/>
      <rgbColor rgb="FFFF0000"/>
      <rgbColor rgb="FFFF7F00"/>
      <rgbColor rgb="FFA80000"/>
      <rgbColor rgb="FF007FFF"/>
      <rgbColor rgb="FF7F00FF"/>
      <rgbColor rgb="FF0000A8"/>
      <rgbColor rgb="FFFFD966"/>
      <rgbColor rgb="FF000080"/>
      <rgbColor rgb="FF003300"/>
      <rgbColor rgb="FF424242"/>
      <rgbColor rgb="FF808080"/>
      <rgbColor rgb="FF666666"/>
      <rgbColor rgb="FFA5A5A5"/>
      <rgbColor rgb="FFB15D24"/>
      <rgbColor rgb="FFFFFDE9"/>
      <rgbColor rgb="FF0432FF"/>
      <rgbColor rgb="FF7030A0"/>
      <rgbColor rgb="FFC0C0C0"/>
      <rgbColor rgb="FF00B050"/>
      <rgbColor rgb="FFFF2F92"/>
      <rgbColor rgb="FFFFC000"/>
      <rgbColor rgb="FFFF9900"/>
      <rgbColor rgb="FF843C0B"/>
      <rgbColor rgb="FF3366FF"/>
      <rgbColor rgb="FF1FB714"/>
      <rgbColor rgb="FFFF6FCF"/>
      <rgbColor rgb="FFCC9966"/>
      <rgbColor rgb="FFF40806"/>
      <rgbColor rgb="FFFF8000"/>
      <rgbColor rgb="FF900000"/>
      <rgbColor rgb="FF6813C3"/>
      <rgbColor rgb="FF000090"/>
      <rgbColor rgb="FFCC99FF"/>
      <rgbColor rgb="FF942093"/>
      <rgbColor rgb="FF008080"/>
      <rgbColor rgb="FFFFD85E"/>
      <rgbColor rgb="FF808000"/>
      <rgbColor rgb="FF800000"/>
      <rgbColor rgb="FFC00000"/>
      <rgbColor rgb="FF800080"/>
      <rgbColor rgb="FFA6CAF0"/>
      <rgbColor rgb="FF00B0F0"/>
      <rgbColor rgb="FF9495AD"/>
      <rgbColor rgb="FF002060"/>
      <rgbColor rgb="FFBFBFBF"/>
      <rgbColor rgb="FFD0CECE"/>
      <rgbColor rgb="FFD9D9D9"/>
    </indexedColors>
    <mruColors>
      <color rgb="FF9437FF"/>
      <color rgb="FF0432FF"/>
      <color rgb="FF941100"/>
      <color rgb="FFFF8CFB"/>
      <color rgb="FFFFFBD8"/>
      <color rgb="FFFFFAF2"/>
      <color rgb="FF929292"/>
      <color rgb="FF0096FF"/>
      <color rgb="FF76D6FF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theme" Target="theme/theme1.xml"/><Relationship Id="rId22" Type="http://schemas.openxmlformats.org/officeDocument/2006/relationships/styles" Target="styles.xml"/><Relationship Id="rId23" Type="http://schemas.openxmlformats.org/officeDocument/2006/relationships/sharedStrings" Target="sharedStrings.xml"/><Relationship Id="rId24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489023</xdr:colOff>
      <xdr:row>62</xdr:row>
      <xdr:rowOff>50800</xdr:rowOff>
    </xdr:from>
    <xdr:to>
      <xdr:col>65</xdr:col>
      <xdr:colOff>247617</xdr:colOff>
      <xdr:row>83</xdr:row>
      <xdr:rowOff>99159</xdr:rowOff>
    </xdr:to>
    <xdr:sp macro="" textlink="">
      <xdr:nvSpPr>
        <xdr:cNvPr id="7" name="Shape 7"/>
        <xdr:cNvSpPr txBox="1"/>
      </xdr:nvSpPr>
      <xdr:spPr>
        <a:xfrm>
          <a:off x="17862623" y="4047067"/>
          <a:ext cx="7082261" cy="360435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20160" tIns="20160" rIns="20160" bIns="20160" numCol="1" anchor="ctr">
          <a:noAutofit/>
        </a:bodyPr>
        <a:lstStyle/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Légende :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1" u="none" strike="noStrike" cap="none" spc="-1" baseline="0">
              <a:ln>
                <a:noFill/>
              </a:ln>
              <a:solidFill>
                <a:srgbClr val="D9D9D9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1" u="none" strike="noStrike" cap="none" spc="-1" baseline="0">
              <a:ln>
                <a:noFill/>
              </a:ln>
              <a:solidFill>
                <a:srgbClr val="D9D9D9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ASEON</a:t>
          </a:r>
          <a:r>
            <a:rPr sz="1000" b="0" i="1" u="none" strike="noStrike" cap="none" spc="-1" baseline="0">
              <a:ln>
                <a:noFill/>
              </a:ln>
              <a:solidFill>
                <a:srgbClr val="D9D9D9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Angularités Sud-Est-Ouest-Nord (Boussole Claire : pondérées 100 à 40%)</a:t>
          </a:r>
          <a:endParaRPr sz="1000" b="1" i="1" u="none" strike="noStrike" cap="none" spc="-1" baseline="0">
            <a:ln>
              <a:noFill/>
            </a:ln>
            <a:solidFill>
              <a:srgbClr val="D9D9D9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ACP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Angularités Lever-Sud-Coucher-Nord (Carpe-Diem GilouX  : de 100 à 40%)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APMA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Angularités Péri-Méri-Apogéiques (pondérées 100 à 40%)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AAL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Angularités Axiales Lunaires  (pondérées 100 à 40%)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AHM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Angularités Horizon-Méridien (pondérées 100 à 40%)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AASP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Angularités Apsidiales (pondérées 100 à 40%)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ANŒ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Angularités Nodales (pondérées 100 à 40%)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ASP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Symboles des Aspects (avec comptage simple au départ)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DECLI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Déclinaisons (Calculs médiane)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IGG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Influence Gravitationnelle Géocentrique (Echelles + + à - -)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IGH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Influence Gravitationnelle Héliocentrique (Echelles + + à - -)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HAUT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Hauteurs (calculs médiane)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LAT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Latitudes (Hélio + TGE = Echelles non faites)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MAGNI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Echelles des Magnitudes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PHAZ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Pas Horaires Azimutaux (Echelles non faites)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PQEq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Pas Quotidiens Equatoriaux (Echelles + + à - -)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PQTGE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Pas Quotidiens TopoGéoEcliptiques (Echelles + + à - -)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PQH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 Pas Quotidiens Héliocentriques (Echelles + + à - -)</a:t>
          </a:r>
          <a:endParaRPr sz="1000" b="1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C</a:t>
          </a:r>
          <a:r>
            <a:rPr sz="1000" b="1" i="1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ritère de départage des rangs égaux 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= </a:t>
          </a:r>
          <a:r>
            <a:rPr sz="1000" b="1" i="1" u="none" strike="noStrike" cap="none" spc="-1" baseline="0">
              <a:ln>
                <a:noFill/>
              </a:ln>
              <a:solidFill>
                <a:srgbClr val="F4080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vitesse</a:t>
          </a:r>
          <a:r>
            <a:rPr sz="1000" b="1" i="1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: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1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1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La plus </a:t>
          </a:r>
          <a:r>
            <a:rPr sz="1000" b="1" i="1" u="none" strike="noStrike" cap="none" spc="-1" baseline="0">
              <a:ln>
                <a:noFill/>
              </a:ln>
              <a:solidFill>
                <a:srgbClr val="3366FF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rapide</a:t>
          </a:r>
          <a:r>
            <a:rPr sz="1000" b="1" i="1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passe </a:t>
          </a:r>
          <a:r>
            <a:rPr sz="1000" b="1" i="1" u="none" strike="noStrike" cap="none" spc="-1" baseline="0">
              <a:ln>
                <a:noFill/>
              </a:ln>
              <a:solidFill>
                <a:srgbClr val="F4080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AVANT</a:t>
          </a:r>
          <a:r>
            <a:rPr sz="1000" b="1" i="1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la plus </a:t>
          </a:r>
          <a:r>
            <a:rPr sz="1000" b="1" i="1" u="none" strike="noStrike" cap="none" spc="-1" baseline="0">
              <a:ln>
                <a:noFill/>
              </a:ln>
              <a:solidFill>
                <a:srgbClr val="00009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lente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408127</xdr:colOff>
      <xdr:row>14</xdr:row>
      <xdr:rowOff>184285</xdr:rowOff>
    </xdr:from>
    <xdr:to>
      <xdr:col>53</xdr:col>
      <xdr:colOff>1067321</xdr:colOff>
      <xdr:row>42</xdr:row>
      <xdr:rowOff>127000</xdr:rowOff>
    </xdr:to>
    <xdr:sp macro="" textlink="">
      <xdr:nvSpPr>
        <xdr:cNvPr id="3" name="Shape 3"/>
        <xdr:cNvSpPr txBox="1"/>
      </xdr:nvSpPr>
      <xdr:spPr>
        <a:xfrm>
          <a:off x="9825665" y="3505823"/>
          <a:ext cx="5993194" cy="573586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20160" tIns="20160" rIns="20160" bIns="20160" numCol="1" anchor="t">
          <a:noAutofit/>
        </a:bodyPr>
        <a:lstStyle/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CC99FF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1" i="0" u="none" strike="noStrike" cap="none" spc="-1" baseline="0">
            <a:ln>
              <a:noFill/>
            </a:ln>
            <a:solidFill>
              <a:srgbClr val="CC99FF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CC99FF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1" i="0" u="none" strike="noStrike" cap="none" spc="-1" baseline="0">
            <a:ln>
              <a:noFill/>
            </a:ln>
            <a:solidFill>
              <a:srgbClr val="CC99FF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CC99FF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1" i="0" u="none" strike="noStrike" cap="none" spc="-1" baseline="0">
            <a:ln>
              <a:noFill/>
            </a:ln>
            <a:solidFill>
              <a:srgbClr val="CC99FF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CC99FF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1" i="0" u="none" strike="noStrike" cap="none" spc="-1" baseline="0">
            <a:ln>
              <a:noFill/>
            </a:ln>
            <a:solidFill>
              <a:srgbClr val="CC99FF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CC99FF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1" i="0" u="none" strike="noStrike" cap="none" spc="-1" baseline="0">
            <a:ln>
              <a:noFill/>
            </a:ln>
            <a:solidFill>
              <a:srgbClr val="CC99FF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cap="none" spc="-1" baseline="0">
              <a:ln>
                <a:noFill/>
              </a:ln>
              <a:solidFill>
                <a:srgbClr val="CC99FF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1" i="0" u="none" strike="noStrike" cap="none" spc="-1" baseline="0">
              <a:ln>
                <a:noFill/>
              </a:ln>
              <a:solidFill>
                <a:srgbClr val="CC99FF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Hiérarchisation du SriAspectral version 1.04 :</a:t>
          </a:r>
          <a:endParaRPr sz="1000" b="1" i="0" u="none" strike="noStrike" cap="none" spc="-1" baseline="0">
            <a:ln>
              <a:noFill/>
            </a:ln>
            <a:solidFill>
              <a:srgbClr val="CC99FF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A = Additionner les valeurs finales de la Somme des Rangs planétaires SORI (voir tableau Finale SR et </a:t>
          </a:r>
          <a:endParaRPr lang="fr-FR"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non les rangs finaux eux-mêmes à cause des égalités faussant le résultat ultime) en prenant les valeurs </a:t>
          </a:r>
          <a:endParaRPr lang="fr-FR"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du référentiel concerné par l'aspect entre les deux planètes, le faire pour chacun si un aspect est retenu.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A6CAF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A6CAF0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A6CAF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A6CAF0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A6CAF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A6CAF0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A6CAF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A6CAF0"/>
            </a:solidFill>
            <a:uFill>
              <a:solidFill>
                <a:srgbClr val="FFFFFF"/>
              </a:solidFill>
            </a:uFill>
            <a:latin typeface="Arial"/>
            <a:ea typeface="Arial"/>
            <a:cs typeface="Arial"/>
            <a:sym typeface="Arial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A6CAF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A6CAF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=&gt; RANG 1 = 2ème approximation après la 1ère du Comptage Simple des aspects de chaque Référentiel</a:t>
          </a:r>
          <a:r>
            <a:rPr sz="1000" b="1" i="0" u="none" strike="noStrike" cap="none" spc="-1" baseline="0">
              <a:ln>
                <a:noFill/>
              </a:ln>
              <a:solidFill>
                <a:srgbClr val="CC99FF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</a:t>
          </a:r>
          <a:endParaRPr sz="1000" b="0" i="0" u="none" strike="noStrike" cap="none" spc="-1" baseline="0">
            <a:ln>
              <a:noFill/>
            </a:ln>
            <a:solidFill>
              <a:srgbClr val="A6CAF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lang="fr-FR"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B - Pondérer % CHAQUE Aspect entre deux planètes dans le même réf' avec les 4 critères suivants :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1 - Nature : </a:t>
          </a:r>
          <a:r>
            <a:rPr sz="12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Zodiac"/>
              <a:ea typeface="Zodiac"/>
              <a:cs typeface="Zodiac"/>
              <a:sym typeface="Zodiac"/>
            </a:rPr>
            <a:t>m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100%  </a:t>
          </a:r>
          <a:r>
            <a:rPr sz="1200" b="0" i="0" u="none" strike="noStrike" cap="none" spc="-1" baseline="0">
              <a:ln>
                <a:noFill/>
              </a:ln>
              <a:solidFill>
                <a:srgbClr val="FF0000"/>
              </a:solidFill>
              <a:uFill>
                <a:solidFill>
                  <a:srgbClr val="FFFFFF"/>
                </a:solidFill>
              </a:uFill>
              <a:latin typeface="Zodiac"/>
              <a:ea typeface="Zodiac"/>
              <a:cs typeface="Zodiac"/>
              <a:sym typeface="Zodiac"/>
            </a:rPr>
            <a:t>u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120%  </a:t>
          </a:r>
          <a:r>
            <a:rPr sz="1200" b="0" i="0" u="none" strike="noStrike" cap="none" spc="-1" baseline="0">
              <a:ln>
                <a:noFill/>
              </a:ln>
              <a:solidFill>
                <a:srgbClr val="00B0F0"/>
              </a:solidFill>
              <a:uFill>
                <a:solidFill>
                  <a:srgbClr val="FFFFFF"/>
                </a:solidFill>
              </a:uFill>
              <a:latin typeface="Zodiac"/>
              <a:ea typeface="Zodiac"/>
              <a:cs typeface="Zodiac"/>
              <a:sym typeface="Zodiac"/>
            </a:rPr>
            <a:t>r</a:t>
          </a:r>
          <a:r>
            <a:rPr sz="1200" b="0" i="0" u="none" strike="noStrike" cap="none" spc="-1" baseline="0">
              <a:ln>
                <a:noFill/>
              </a:ln>
              <a:solidFill>
                <a:srgbClr val="FF0000"/>
              </a:solidFill>
              <a:uFill>
                <a:solidFill>
                  <a:srgbClr val="FFFFFF"/>
                </a:solidFill>
              </a:uFill>
              <a:latin typeface="Zodiac"/>
              <a:ea typeface="Zodiac"/>
              <a:cs typeface="Zodiac"/>
              <a:sym typeface="Zodiac"/>
            </a:rPr>
            <a:t>q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140%  </a:t>
          </a:r>
          <a:r>
            <a:rPr sz="1200" b="0" i="0" u="none" strike="noStrike" cap="none" spc="-1" baseline="0">
              <a:ln>
                <a:noFill/>
              </a:ln>
              <a:solidFill>
                <a:srgbClr val="00B0F0"/>
              </a:solidFill>
              <a:uFill>
                <a:solidFill>
                  <a:srgbClr val="FFFFFF"/>
                </a:solidFill>
              </a:uFill>
              <a:latin typeface="Zodiac"/>
              <a:ea typeface="Zodiac"/>
              <a:cs typeface="Zodiac"/>
              <a:sym typeface="Zodiac"/>
            </a:rPr>
            <a:t>p</a:t>
          </a:r>
          <a:r>
            <a:rPr sz="1200" b="0" i="0" u="none" strike="noStrike" cap="none" spc="-1" baseline="0">
              <a:ln>
                <a:noFill/>
              </a:ln>
              <a:solidFill>
                <a:srgbClr val="FF0000"/>
              </a:solidFill>
              <a:uFill>
                <a:solidFill>
                  <a:srgbClr val="FFFFFF"/>
                </a:solidFill>
              </a:uFill>
              <a:latin typeface="Zodiac"/>
              <a:ea typeface="Zodiac"/>
              <a:cs typeface="Zodiac"/>
              <a:sym typeface="Zodiac"/>
            </a:rPr>
            <a:t>o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160%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strodienst"/>
              <a:ea typeface="Astrodienst"/>
              <a:cs typeface="Astrodienst"/>
              <a:sym typeface="Astrodienst"/>
            </a:rPr>
            <a:t> </a:t>
          </a:r>
          <a:r>
            <a:rPr sz="1600" b="0" i="0" u="none" strike="noStrike" cap="none" spc="-1" baseline="0">
              <a:ln>
                <a:noFill/>
              </a:ln>
              <a:solidFill>
                <a:srgbClr val="00B0F0"/>
              </a:solidFill>
              <a:uFill>
                <a:solidFill>
                  <a:srgbClr val="FFFFFF"/>
                </a:solidFill>
              </a:uFill>
              <a:latin typeface="Horoscope2000"/>
              <a:ea typeface="Horoscope2000"/>
              <a:cs typeface="Horoscope2000"/>
              <a:sym typeface="Horoscope2000"/>
            </a:rPr>
            <a:t>Ù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180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2 - Orbe : EXACT 100% &gt; MOYEN 120% &gt; LARGE 140% (voir Tableau)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3 - APPLICANT 100% &gt; SEPARANT 140%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4 - PARALLELE H, D, L 100% &gt; CONTRE-PAR. 120% &gt; non PARALLELE 140%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C - Additionner les 4 pondérations de Rangs puis diviser par ce même nombre :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Formule sur Excel pour chaque aspect : 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=((Rangs13,75*(Nature 100/100))+(13,75*(Orbe 120/100))+(13,75*(Appli-</a:t>
          </a:r>
          <a:r>
            <a:rPr sz="1000" b="0" i="1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Sépa</a:t>
          </a: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140/100))+(Parallèle 13,75*(100/100)))/4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D - Additionner les aspects pondérés entre deux planètes et diviser par le nombre de Réf  : =(J19+I19+H19)/3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E - Pondérer l'Aspect global SORI par :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• Invariant d'interface = + 0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• Invariant = + 2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• Super-Intégrateur = + 4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• Intégrateur = + 6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• Connecteur = + 8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• Coupleur = + 10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• Isolani = + 12</a:t>
          </a:r>
          <a:endParaRPr sz="1000" b="0" i="0" u="none" strike="noStrike" cap="none" spc="-1" baseline="0">
            <a:ln>
              <a:noFill/>
            </a:ln>
            <a:solidFill>
              <a:srgbClr val="969696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FF8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FF8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6 - =&gt; RANG 2 DEFINITIF GLOBAL </a:t>
          </a:r>
          <a:endParaRPr sz="1000" b="0" i="0" u="none" strike="noStrike" cap="none" spc="-1" baseline="0">
            <a:ln>
              <a:noFill/>
            </a:ln>
            <a:solidFill>
              <a:srgbClr val="FF8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574590</xdr:colOff>
      <xdr:row>52</xdr:row>
      <xdr:rowOff>164551</xdr:rowOff>
    </xdr:from>
    <xdr:to>
      <xdr:col>12</xdr:col>
      <xdr:colOff>255209</xdr:colOff>
      <xdr:row>62</xdr:row>
      <xdr:rowOff>23586</xdr:rowOff>
    </xdr:to>
    <xdr:grpSp>
      <xdr:nvGrpSpPr>
        <xdr:cNvPr id="12" name="CustomShape 1"/>
        <xdr:cNvGrpSpPr/>
      </xdr:nvGrpSpPr>
      <xdr:grpSpPr>
        <a:xfrm>
          <a:off x="574590" y="15685765"/>
          <a:ext cx="5150690" cy="3061250"/>
          <a:chOff x="-19049" y="-175114"/>
          <a:chExt cx="4887619" cy="3046734"/>
        </a:xfrm>
      </xdr:grpSpPr>
      <xdr:sp macro="" textlink="">
        <xdr:nvSpPr>
          <xdr:cNvPr id="10" name="Shape 10"/>
          <xdr:cNvSpPr/>
        </xdr:nvSpPr>
        <xdr:spPr>
          <a:xfrm>
            <a:off x="0" y="-1"/>
            <a:ext cx="4849520" cy="2871622"/>
          </a:xfrm>
          <a:prstGeom prst="rect">
            <a:avLst/>
          </a:prstGeom>
          <a:solidFill>
            <a:srgbClr val="FFFFFF"/>
          </a:solidFill>
          <a:ln w="9360" cap="flat">
            <a:solidFill>
              <a:srgbClr val="FFFFFF"/>
            </a:solidFill>
            <a:prstDash val="solid"/>
            <a:miter lim="800000"/>
          </a:ln>
          <a:effectLst/>
        </xdr:spPr>
        <xdr:txBody>
          <a:bodyPr/>
          <a:lstStyle/>
          <a:p>
            <a:endParaRPr/>
          </a:p>
        </xdr:txBody>
      </xdr:sp>
      <xdr:sp macro="" textlink="">
        <xdr:nvSpPr>
          <xdr:cNvPr id="11" name="Shape 11"/>
          <xdr:cNvSpPr txBox="1"/>
        </xdr:nvSpPr>
        <xdr:spPr>
          <a:xfrm>
            <a:off x="-19050" y="-175115"/>
            <a:ext cx="4887620" cy="2685096"/>
          </a:xfrm>
          <a:prstGeom prst="rect">
            <a:avLst/>
          </a:prstGeom>
          <a:noFill/>
          <a:ln w="12700" cap="flat">
            <a:noFill/>
            <a:miter lim="400000"/>
          </a:ln>
          <a:effectLst/>
          <a:extLst>
            <a:ext uri="{C572A759-6A51-4108-AA02-DFA0A04FC94B}">
              <ma14:wrappingTextBoxFlag xmlns:ma14="http://schemas.microsoft.com/office/mac/drawingml/2011/main" val="1"/>
            </a:ext>
          </a:extLst>
        </xdr:spPr>
        <xdr:txBody>
          <a:bodyPr wrap="square" lIns="20160" tIns="20160" rIns="20160" bIns="20160" numCol="1" anchor="t">
            <a:spAutoFit/>
          </a:bodyPr>
          <a:lstStyle/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cap="none" spc="-1" baseline="0">
                <a:ln>
                  <a:noFill/>
                </a:ln>
                <a:solidFill>
                  <a:srgbClr val="CC99FF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defRPr>
            </a:pPr>
            <a:r>
              <a:rPr sz="1400" b="0" i="0" u="none" strike="noStrike" cap="none" spc="-1" baseline="0">
                <a:ln>
                  <a:noFill/>
                </a:ln>
                <a:solidFill>
                  <a:srgbClr val="CC99FF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                              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CC99FF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Légende du SoriAspectral </a:t>
            </a:r>
            <a:endParaRPr sz="1000" b="0" i="0" u="none" strike="noStrike" cap="none" spc="-1" baseline="0">
              <a:ln>
                <a:noFill/>
              </a:ln>
              <a:solidFill>
                <a:srgbClr val="CC99FF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endParaRPr>
          </a:p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cap="none" spc="-1" baseline="0">
                <a:ln>
                  <a:noFill/>
                </a:ln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Times New Roman"/>
                <a:ea typeface="Times New Roman"/>
                <a:cs typeface="Times New Roman"/>
                <a:sym typeface="Times New Roman"/>
              </a:defRPr>
            </a:pPr>
            <a:endPara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endParaRPr>
          </a:p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cap="none" spc="-1" baseline="0">
                <a:ln>
                  <a:noFill/>
                </a:ln>
                <a:solidFill>
                  <a:srgbClr val="FF8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defRPr>
            </a:pPr>
            <a:r>
              <a:rPr sz="1000" b="0" i="0" u="none" strike="noStrike" cap="none" spc="-1" baseline="0">
                <a:ln>
                  <a:noFill/>
                </a:ln>
                <a:solidFill>
                  <a:srgbClr val="FF8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INVARIANT</a:t>
            </a:r>
            <a:r>
              <a:rPr sz="1000" b="1" i="0" u="none" strike="noStrike" cap="none" spc="-1" baseline="0">
                <a:ln>
                  <a:noFill/>
                </a:ln>
                <a:solidFill>
                  <a:srgbClr val="FF8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 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FF8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structurel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 :  Conjonctions ou Oppositions Soleil-Terre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 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/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 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Planète en 4</a:t>
            </a:r>
            <a:endParaRPr sz="1000" b="0" i="0" u="none" strike="noStrike" cap="none" spc="-1" baseline="0">
              <a:ln>
                <a:noFill/>
              </a:ln>
              <a:solidFill>
                <a:srgbClr val="FF8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endParaRPr>
          </a:p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cap="none" spc="-1" baseline="0">
                <a:ln>
                  <a:noFill/>
                </a:ln>
                <a:solidFill>
                  <a:srgbClr val="CC996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defRPr>
            </a:pPr>
            <a:r>
              <a:rPr sz="1000" b="0" i="0" u="none" strike="noStrike" cap="none" spc="-1" baseline="0">
                <a:ln>
                  <a:noFill/>
                </a:ln>
                <a:solidFill>
                  <a:srgbClr val="CC996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INVARIANT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 : le même aspect en SORI</a:t>
            </a:r>
            <a:endParaRPr sz="1000" b="0" i="0" u="none" strike="noStrike" cap="none" spc="-1" baseline="0">
              <a:ln>
                <a:noFill/>
              </a:ln>
              <a:solidFill>
                <a:srgbClr val="CC9966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endParaRPr>
          </a:p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cap="none" spc="-1" baseline="0">
                <a:ln>
                  <a:noFill/>
                </a:ln>
                <a:solidFill>
                  <a:srgbClr val="33CCCC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defRPr>
            </a:pPr>
            <a:r>
              <a:rPr sz="1000" b="0" i="0" u="none" strike="noStrike" cap="none" spc="-1" baseline="0">
                <a:ln>
                  <a:noFill/>
                </a:ln>
                <a:solidFill>
                  <a:srgbClr val="33CCCC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Super-Intégrateur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 : aspects différents en SORI</a:t>
            </a:r>
            <a:endParaRPr sz="1000" b="0" i="0" u="none" strike="noStrike" cap="none" spc="-1" baseline="0">
              <a:ln>
                <a:noFill/>
              </a:ln>
              <a:solidFill>
                <a:srgbClr val="33CCCC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endParaRPr>
          </a:p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cap="none" spc="-1" baseline="0">
                <a:ln>
                  <a:noFill/>
                </a:ln>
                <a:solidFill>
                  <a:srgbClr val="3366FF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defRPr>
            </a:pPr>
            <a:r>
              <a:rPr sz="1000" b="0" i="0" u="none" strike="noStrike" cap="none" spc="-1" baseline="0">
                <a:ln>
                  <a:noFill/>
                </a:ln>
                <a:solidFill>
                  <a:srgbClr val="3366FF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Intégrateur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 : aspects en 3 dont 1 en Intégration (SOI, ORI, SRI)</a:t>
            </a:r>
            <a:endParaRPr sz="1000" b="0" i="0" u="none" strike="noStrike" cap="none" spc="-1" baseline="0">
              <a:ln>
                <a:noFill/>
              </a:ln>
              <a:solidFill>
                <a:srgbClr val="3366FF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endParaRPr>
          </a:p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cap="none" spc="-1" baseline="0">
                <a:ln>
                  <a:noFill/>
                </a:ln>
                <a:solidFill>
                  <a:srgbClr val="1FB714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defRPr>
            </a:pPr>
            <a:r>
              <a:rPr sz="1000" b="0" i="0" u="none" strike="noStrike" cap="none" spc="-1" baseline="0">
                <a:ln>
                  <a:noFill/>
                </a:ln>
                <a:solidFill>
                  <a:srgbClr val="1FB714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Connecteur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 : aspects en SOR</a:t>
            </a:r>
            <a:endParaRPr sz="1000" b="0" i="0" u="none" strike="noStrike" cap="none" spc="-1" baseline="0">
              <a:ln>
                <a:noFill/>
              </a:ln>
              <a:solidFill>
                <a:srgbClr val="1FB714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endParaRPr>
          </a:p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cap="none" spc="-1" baseline="0">
                <a:ln>
                  <a:noFill/>
                </a:ln>
                <a:solidFill>
                  <a:srgbClr val="FF008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defRPr>
            </a:pPr>
            <a:r>
              <a:rPr sz="1000" b="0" i="0" u="none" strike="noStrike" cap="none" spc="-1" baseline="0">
                <a:ln>
                  <a:noFill/>
                </a:ln>
                <a:solidFill>
                  <a:srgbClr val="FF0080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Coupleur</a:t>
            </a:r>
            <a:r>
              <a:rPr sz="1000" b="1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 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: aspects en 2 référentiels (SO, SR, SI, OR, OI, RI)</a:t>
            </a:r>
            <a:endParaRPr sz="1000" b="0" i="0" u="none" strike="noStrike" cap="none" spc="-1" baseline="0">
              <a:ln>
                <a:noFill/>
              </a:ln>
              <a:solidFill>
                <a:srgbClr val="FF008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endParaRPr>
          </a:p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defRPr>
            </a:pPr>
            <a:r>
              <a:rPr sz="1000" b="0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Isolani : aspect en un seul référentiel S ou O ou R ou I</a:t>
            </a:r>
            <a:endParaRPr sz="1000" b="0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endParaRPr>
          </a:p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cap="none" spc="-1" baseline="0">
                <a:ln>
                  <a:noFill/>
                </a:ln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Times New Roman"/>
                <a:ea typeface="Times New Roman"/>
                <a:cs typeface="Times New Roman"/>
                <a:sym typeface="Times New Roman"/>
              </a:defRPr>
            </a:pPr>
            <a:endPara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endParaRPr>
          </a:p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cap="none" spc="-1" baseline="0">
                <a:ln>
                  <a:noFill/>
                </a:ln>
                <a:solidFill>
                  <a:srgbClr val="99336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defRPr>
            </a:pPr>
            <a:r>
              <a:rPr sz="1000" b="1" i="0" u="none" strike="noStrike" cap="none" spc="-1" baseline="0">
                <a:ln>
                  <a:noFill/>
                </a:ln>
                <a:solidFill>
                  <a:srgbClr val="99336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Involutif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  en SORI : l'aspect diminue de Majeur &lt; Moyen &lt; Mineur</a:t>
            </a:r>
            <a:endParaRPr sz="1000" b="1" i="0" u="none" strike="noStrike" cap="none" spc="-1" baseline="0">
              <a:ln>
                <a:noFill/>
              </a:ln>
              <a:solidFill>
                <a:srgbClr val="993366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endParaRPr>
          </a:p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cap="none" spc="-1" baseline="0">
                <a:ln>
                  <a:noFill/>
                </a:ln>
                <a:solidFill>
                  <a:srgbClr val="FF6FCF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defRPr>
            </a:pPr>
            <a:r>
              <a:rPr sz="1000" b="1" i="0" u="none" strike="noStrike" cap="none" spc="-1" baseline="0">
                <a:ln>
                  <a:noFill/>
                </a:ln>
                <a:solidFill>
                  <a:srgbClr val="FF6FCF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Evolutif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FF6FCF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 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en SORI : l'aspect augmente de Mineur &gt; Moyen &gt; Majeur</a:t>
            </a:r>
            <a:endParaRPr sz="1000" b="1" i="0" u="none" strike="noStrike" cap="none" spc="-1" baseline="0">
              <a:ln>
                <a:noFill/>
              </a:ln>
              <a:solidFill>
                <a:srgbClr val="FF6FCF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endParaRPr>
          </a:p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cap="none" spc="-1" baseline="0">
                <a:ln>
                  <a:noFill/>
                </a:ln>
                <a:solidFill>
                  <a:srgbClr val="000000"/>
                </a:solidFill>
                <a:uFill>
                  <a:solidFill>
                    <a:srgbClr val="FFFFFF"/>
                  </a:solidFill>
                </a:uFill>
                <a:latin typeface="Times New Roman"/>
                <a:ea typeface="Times New Roman"/>
                <a:cs typeface="Times New Roman"/>
                <a:sym typeface="Times New Roman"/>
              </a:defRPr>
            </a:pPr>
            <a:endPara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endParaRPr>
          </a:p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defRPr>
            </a:pPr>
            <a:r>
              <a:rPr sz="1000" b="1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Neutre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 = Conjonction</a:t>
            </a:r>
            <a:endParaRPr sz="1000" b="1" i="0" u="none" strike="noStrike" cap="none" spc="-1" baseline="0">
              <a:ln>
                <a:noFill/>
              </a:ln>
              <a:solidFill>
                <a:srgbClr val="969696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endParaRPr>
          </a:p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cap="none" spc="-1" baseline="0">
                <a:ln>
                  <a:noFill/>
                </a:ln>
                <a:solidFill>
                  <a:srgbClr val="00CCFF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defRPr>
            </a:pPr>
            <a:r>
              <a:rPr sz="1000" b="1" i="0" u="none" strike="noStrike" cap="none" spc="-1" baseline="0">
                <a:ln>
                  <a:noFill/>
                </a:ln>
                <a:solidFill>
                  <a:srgbClr val="00CCFF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Stable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 = aspect Harmonique (Trigone-Sextile)</a:t>
            </a:r>
            <a:endParaRPr sz="1000" b="1" i="0" u="none" strike="noStrike" cap="none" spc="-1" baseline="0">
              <a:ln>
                <a:noFill/>
              </a:ln>
              <a:solidFill>
                <a:srgbClr val="00CCFF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endParaRPr>
          </a:p>
          <a:p>
            <a:pPr marL="0" marR="0" indent="0" algn="l" defTabSz="914400" latinLnBrk="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cap="none" spc="-1" baseline="0">
                <a:ln>
                  <a:noFill/>
                </a:ln>
                <a:solidFill>
                  <a:srgbClr val="F4080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defRPr>
            </a:pPr>
            <a:r>
              <a:rPr sz="1000" b="1" i="0" u="none" strike="noStrike" cap="none" spc="-1" baseline="0">
                <a:ln>
                  <a:noFill/>
                </a:ln>
                <a:solidFill>
                  <a:srgbClr val="F4080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Dynamique</a:t>
            </a:r>
            <a:r>
              <a:rPr sz="1000" b="0" i="0" u="none" strike="noStrike" cap="none" spc="-1" baseline="0">
                <a:ln>
                  <a:noFill/>
                </a:ln>
                <a:solidFill>
                  <a:srgbClr val="969696"/>
                </a:solidFill>
                <a:uFill>
                  <a:solidFill>
                    <a:srgbClr val="FFFFFF"/>
                  </a:solidFill>
                </a:uFill>
                <a:latin typeface="Arial"/>
                <a:ea typeface="Arial"/>
                <a:cs typeface="Arial"/>
                <a:sym typeface="Arial"/>
              </a:rPr>
              <a:t> = aspect dissonnant (Opposition-Carré-Demicarré)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402200</xdr:colOff>
      <xdr:row>3</xdr:row>
      <xdr:rowOff>146537</xdr:rowOff>
    </xdr:from>
    <xdr:to>
      <xdr:col>18</xdr:col>
      <xdr:colOff>116143</xdr:colOff>
      <xdr:row>21</xdr:row>
      <xdr:rowOff>107461</xdr:rowOff>
    </xdr:to>
    <xdr:sp macro="" textlink="">
      <xdr:nvSpPr>
        <xdr:cNvPr id="15" name="Shape 15"/>
        <xdr:cNvSpPr txBox="1"/>
      </xdr:nvSpPr>
      <xdr:spPr>
        <a:xfrm>
          <a:off x="13238969" y="908537"/>
          <a:ext cx="3084328" cy="355600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20160" tIns="20160" rIns="20160" bIns="20160" numCol="1" anchor="t">
          <a:noAutofit/>
        </a:bodyPr>
        <a:lstStyle/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FORMULE RAYONS VECTEURS (FRED)</a:t>
          </a: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Planètes :</a:t>
          </a: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1 = a=Rayon Vecteur Terre-Planète (Géo) = RVE</a:t>
          </a: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2 = b=Rayon Vecteur Soleil-Planète (Hélio) = RVH</a:t>
          </a: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3 = c=Rayon Vecteur Terre-Soleil = RVTS</a:t>
          </a: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4 = p=a+b+c/2</a:t>
          </a: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Tga/2=</a:t>
          </a: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5 = RC(p-c)*(p-b)/p*(p-a)</a:t>
          </a: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6 = ATAN*2*180/PI=ATP</a:t>
          </a: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7 = Soleil:</a:t>
          </a: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(RVA=1,018-RVJ)*180/0,037</a:t>
          </a: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(RVJ-RVP=0,981)*180/0,037</a:t>
          </a: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8 = Lune:</a:t>
          </a: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Times New Roman"/>
              <a:ea typeface="Times New Roman"/>
              <a:cs typeface="Times New Roman"/>
              <a:sym typeface="Times New Roman"/>
            </a:defRPr>
          </a:pP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(RVA=0,0028-RVJ)*180/0,0005</a:t>
          </a:r>
          <a:endParaRPr sz="1000" b="0" i="0" u="none" strike="noStrike" cap="none" spc="-1" baseline="0">
            <a:ln>
              <a:noFill/>
            </a:ln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  <a:ea typeface="Times New Roman"/>
            <a:cs typeface="Times New Roman"/>
            <a:sym typeface="Times New Roman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defRPr>
          </a:pPr>
          <a:r>
            <a:rPr sz="1000" b="0" i="0" u="none" strike="noStrike" cap="none" spc="-1" baseline="0">
              <a:ln>
                <a:noFill/>
              </a:ln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Arial"/>
              <a:ea typeface="Arial"/>
              <a:cs typeface="Arial"/>
              <a:sym typeface="Arial"/>
            </a:rPr>
            <a:t>(RVJ-RVP=0,0023)*180/0,0005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topLeftCell="D1" zoomScale="170" zoomScaleNormal="170" workbookViewId="0">
      <selection activeCell="E5" sqref="E5"/>
    </sheetView>
  </sheetViews>
  <sheetFormatPr baseColWidth="10" defaultColWidth="8.83203125" defaultRowHeight="13" customHeight="1" x14ac:dyDescent="0.15"/>
  <cols>
    <col min="1" max="1" width="1.33203125" style="1" customWidth="1"/>
    <col min="2" max="2" width="3.83203125" style="1" customWidth="1"/>
    <col min="3" max="4" width="8.33203125" style="2137" bestFit="1" customWidth="1"/>
    <col min="5" max="5" width="13" style="1" bestFit="1" customWidth="1"/>
    <col min="6" max="6" width="12.1640625" style="1" bestFit="1" customWidth="1"/>
    <col min="7" max="7" width="12" style="2137" bestFit="1" customWidth="1"/>
    <col min="8" max="8" width="12.6640625" style="2184" bestFit="1" customWidth="1"/>
    <col min="9" max="9" width="8.6640625" style="1" bestFit="1" customWidth="1"/>
    <col min="10" max="10" width="10.33203125" style="1" bestFit="1" customWidth="1"/>
    <col min="11" max="11" width="13.83203125" style="1" bestFit="1" customWidth="1"/>
    <col min="12" max="12" width="1.33203125" style="1" customWidth="1"/>
    <col min="13" max="13" width="11" style="1" customWidth="1"/>
    <col min="14" max="256" width="8.83203125" customWidth="1"/>
  </cols>
  <sheetData>
    <row r="1" spans="1:13" ht="10.75" customHeight="1" x14ac:dyDescent="0.15">
      <c r="A1" s="1419"/>
      <c r="B1" s="1419"/>
      <c r="C1" s="2120"/>
      <c r="D1" s="2120"/>
      <c r="E1" s="1419"/>
      <c r="F1" s="1419"/>
      <c r="G1" s="2120"/>
      <c r="H1" s="2155"/>
      <c r="I1" s="1419"/>
      <c r="J1" s="1419"/>
      <c r="K1" s="1419"/>
      <c r="L1" s="1419"/>
      <c r="M1" s="5"/>
    </row>
    <row r="2" spans="1:13" ht="21.25" customHeight="1" x14ac:dyDescent="0.15">
      <c r="A2" s="1419"/>
      <c r="B2" s="2778" t="s">
        <v>0</v>
      </c>
      <c r="C2" s="2779"/>
      <c r="D2" s="2779"/>
      <c r="E2" s="2779"/>
      <c r="F2" s="2779"/>
      <c r="G2" s="2779"/>
      <c r="H2" s="2779"/>
      <c r="I2" s="2779"/>
      <c r="J2" s="2779"/>
      <c r="K2" s="2779"/>
      <c r="L2" s="1419"/>
      <c r="M2" s="14"/>
    </row>
    <row r="3" spans="1:13" ht="13.75" customHeight="1" x14ac:dyDescent="0.15">
      <c r="A3" s="1419"/>
      <c r="B3" s="1389"/>
      <c r="C3" s="2138" t="s">
        <v>394</v>
      </c>
      <c r="D3" s="2121" t="s">
        <v>2</v>
      </c>
      <c r="E3" s="1356" t="s">
        <v>3</v>
      </c>
      <c r="F3" s="1358" t="s">
        <v>4</v>
      </c>
      <c r="G3" s="2149" t="s">
        <v>5</v>
      </c>
      <c r="H3" s="2156" t="s">
        <v>6</v>
      </c>
      <c r="I3" s="10" t="s">
        <v>7</v>
      </c>
      <c r="J3" s="10" t="s">
        <v>8</v>
      </c>
      <c r="K3" s="18"/>
      <c r="L3" s="1419"/>
      <c r="M3" s="14"/>
    </row>
    <row r="4" spans="1:13" ht="21" customHeight="1" x14ac:dyDescent="0.15">
      <c r="A4" s="1419"/>
      <c r="B4" s="1401" t="s">
        <v>9</v>
      </c>
      <c r="C4" s="2427">
        <v>43.121588812676997</v>
      </c>
      <c r="D4" s="2428">
        <v>44.132012255520998</v>
      </c>
      <c r="E4" s="2070">
        <v>-9.9197926839999992E-3</v>
      </c>
      <c r="F4" s="1961">
        <v>1.1640648409999999E-2</v>
      </c>
      <c r="G4" s="2417">
        <v>0.99239042642800002</v>
      </c>
      <c r="H4" s="2157">
        <v>0.99162232030099995</v>
      </c>
      <c r="I4" s="1357">
        <v>102.835538226398</v>
      </c>
      <c r="J4" s="1357">
        <v>180</v>
      </c>
      <c r="K4" s="1950"/>
      <c r="L4" s="1419"/>
      <c r="M4" s="14"/>
    </row>
    <row r="5" spans="1:13" ht="21" customHeight="1" x14ac:dyDescent="0.15">
      <c r="A5" s="1419"/>
      <c r="B5" s="1402" t="s">
        <v>10</v>
      </c>
      <c r="C5" s="2139">
        <v>39.308994575824997</v>
      </c>
      <c r="D5" s="2122">
        <v>45.222900847436001</v>
      </c>
      <c r="E5" s="2048">
        <v>-1.095436680103</v>
      </c>
      <c r="F5" s="1962">
        <v>0.37321183840299998</v>
      </c>
      <c r="G5" s="2418">
        <v>0.31910692981099997</v>
      </c>
      <c r="H5" s="2158">
        <v>0.31576397565800002</v>
      </c>
      <c r="I5" s="1975">
        <v>77.182271713585394</v>
      </c>
      <c r="J5" s="1975">
        <v>48.261895739000899</v>
      </c>
      <c r="K5" s="1949"/>
      <c r="L5" s="1419"/>
      <c r="M5" s="14"/>
    </row>
    <row r="6" spans="1:13" ht="21" customHeight="1" x14ac:dyDescent="0.15">
      <c r="A6" s="1419"/>
      <c r="B6" s="1392" t="s">
        <v>11</v>
      </c>
      <c r="C6" s="2140">
        <v>180.75082410322401</v>
      </c>
      <c r="D6" s="2123">
        <v>182.36958601907</v>
      </c>
      <c r="E6" s="2049">
        <v>3.2921720874810001</v>
      </c>
      <c r="F6" s="2413">
        <v>3.2675103088080002</v>
      </c>
      <c r="G6" s="2419">
        <v>0.72010476169100002</v>
      </c>
      <c r="H6" s="2159">
        <v>0.72021042199700003</v>
      </c>
      <c r="I6" s="1960">
        <v>131.434034895</v>
      </c>
      <c r="J6" s="1960">
        <v>76.628461328124004</v>
      </c>
      <c r="K6" s="1948"/>
      <c r="L6" s="1419"/>
      <c r="M6" s="14"/>
    </row>
    <row r="7" spans="1:13" ht="23" customHeight="1" x14ac:dyDescent="0.15">
      <c r="A7" s="1419"/>
      <c r="B7" s="1393" t="s">
        <v>12</v>
      </c>
      <c r="C7" s="2141">
        <v>42.985086142328001</v>
      </c>
      <c r="D7" s="2124">
        <v>43.987967215048002</v>
      </c>
      <c r="E7" s="2069">
        <v>3.7658911000000003E-5</v>
      </c>
      <c r="F7" s="1963">
        <v>5.8869821999999997E-5</v>
      </c>
      <c r="G7" s="2420">
        <v>0.99137293665299997</v>
      </c>
      <c r="H7" s="2160">
        <v>0.99113270101600004</v>
      </c>
      <c r="I7" s="1976">
        <v>102.835538226398</v>
      </c>
      <c r="J7" s="1976">
        <v>180</v>
      </c>
      <c r="K7" s="1955"/>
      <c r="L7" s="1419"/>
      <c r="M7" s="14"/>
    </row>
    <row r="8" spans="1:13" ht="21" customHeight="1" x14ac:dyDescent="0.15">
      <c r="A8" s="1419"/>
      <c r="B8" s="1355" t="s">
        <v>13</v>
      </c>
      <c r="C8" s="2142">
        <v>246.59691409982301</v>
      </c>
      <c r="D8" s="2125">
        <v>247.129213218118</v>
      </c>
      <c r="E8" s="2067">
        <v>-0.54357074497900004</v>
      </c>
      <c r="F8" s="2414">
        <v>0.55997736046699997</v>
      </c>
      <c r="G8" s="2421">
        <v>1.508903027673</v>
      </c>
      <c r="H8" s="2161">
        <v>1.507596893553</v>
      </c>
      <c r="I8" s="1977">
        <v>335.95905389125801</v>
      </c>
      <c r="J8" s="1977">
        <v>49.514571342611397</v>
      </c>
      <c r="K8" s="1952"/>
      <c r="L8" s="1419"/>
      <c r="M8" s="14"/>
    </row>
    <row r="9" spans="1:13" ht="21" customHeight="1" x14ac:dyDescent="0.15">
      <c r="A9" s="1419"/>
      <c r="B9" s="1394" t="s">
        <v>14</v>
      </c>
      <c r="C9" s="2143">
        <v>206.42196550374899</v>
      </c>
      <c r="D9" s="2126">
        <v>206.49768576544</v>
      </c>
      <c r="E9" s="2052">
        <v>1.254316608001</v>
      </c>
      <c r="F9" s="1957">
        <v>1.2538404127959999</v>
      </c>
      <c r="G9" s="2422">
        <v>5.4493567973620003</v>
      </c>
      <c r="H9" s="2162">
        <v>5.4492880539420003</v>
      </c>
      <c r="I9" s="1978">
        <v>14.2370638633873</v>
      </c>
      <c r="J9" s="1978">
        <v>100.405608712765</v>
      </c>
      <c r="K9" s="1951"/>
      <c r="L9" s="1419"/>
      <c r="M9" s="14"/>
    </row>
    <row r="10" spans="1:13" ht="21" customHeight="1" x14ac:dyDescent="0.15">
      <c r="A10" s="1419"/>
      <c r="B10" s="1395" t="s">
        <v>15</v>
      </c>
      <c r="C10" s="2144">
        <v>329.40358444374101</v>
      </c>
      <c r="D10" s="2127">
        <v>329.43531622964798</v>
      </c>
      <c r="E10" s="2071">
        <v>-1.4553280105899999</v>
      </c>
      <c r="F10" s="2415">
        <v>1.4564431784959999</v>
      </c>
      <c r="G10" s="2423">
        <v>9.7926144951049992</v>
      </c>
      <c r="H10" s="2163">
        <v>9.7923671220300008</v>
      </c>
      <c r="I10" s="1979">
        <v>92.957810643126507</v>
      </c>
      <c r="J10" s="1979">
        <v>113.615539600875</v>
      </c>
      <c r="K10" s="1954"/>
      <c r="L10" s="1419"/>
      <c r="M10" s="14"/>
    </row>
    <row r="11" spans="1:13" ht="21" customHeight="1" x14ac:dyDescent="0.15">
      <c r="A11" s="1419"/>
      <c r="B11" s="1396" t="s">
        <v>16</v>
      </c>
      <c r="C11" s="2145">
        <v>291.50879449684197</v>
      </c>
      <c r="D11" s="2128">
        <v>291.52005775489101</v>
      </c>
      <c r="E11" s="2072">
        <v>-0.47018083402799998</v>
      </c>
      <c r="F11" s="2416">
        <v>0.47030110745600001</v>
      </c>
      <c r="G11" s="2424">
        <v>19.623826906028999</v>
      </c>
      <c r="H11" s="2164">
        <v>19.623991323114002</v>
      </c>
      <c r="I11" s="1980">
        <v>172.91849008872001</v>
      </c>
      <c r="J11" s="1980">
        <v>73.977869861690095</v>
      </c>
      <c r="K11" s="1479"/>
      <c r="L11" s="1419"/>
      <c r="M11" s="14"/>
    </row>
    <row r="12" spans="1:13" ht="21" customHeight="1" x14ac:dyDescent="0.15">
      <c r="A12" s="1419"/>
      <c r="B12" s="1397" t="s">
        <v>17</v>
      </c>
      <c r="C12" s="2146">
        <v>290.45650938333898</v>
      </c>
      <c r="D12" s="2129">
        <v>290.46249743958299</v>
      </c>
      <c r="E12" s="2068">
        <v>0.64212086635999999</v>
      </c>
      <c r="F12" s="1958">
        <v>0.64194925510300005</v>
      </c>
      <c r="G12" s="2425">
        <v>30.181992019481999</v>
      </c>
      <c r="H12" s="2165">
        <v>30.181972834947999</v>
      </c>
      <c r="I12" s="717">
        <v>48.042916298073202</v>
      </c>
      <c r="J12" s="717">
        <v>131.720223819316</v>
      </c>
      <c r="K12" s="1953"/>
      <c r="L12" s="1419"/>
      <c r="M12" s="14"/>
    </row>
    <row r="13" spans="1:13" ht="21" customHeight="1" x14ac:dyDescent="0.15">
      <c r="A13" s="1419"/>
      <c r="B13" s="1398" t="s">
        <v>18</v>
      </c>
      <c r="C13" s="2147">
        <v>235.348095312818</v>
      </c>
      <c r="D13" s="2130">
        <v>235.355048158447</v>
      </c>
      <c r="E13" s="2056">
        <v>14.155677856704999</v>
      </c>
      <c r="F13" s="1959">
        <v>14.154526638081</v>
      </c>
      <c r="G13" s="2426">
        <v>29.754540386180999</v>
      </c>
      <c r="H13" s="2166">
        <v>29.754665988444</v>
      </c>
      <c r="I13" s="1981">
        <v>225.06262111286699</v>
      </c>
      <c r="J13" s="1981">
        <v>110.244851078526</v>
      </c>
      <c r="K13" s="1399"/>
      <c r="L13" s="1419"/>
      <c r="M13" s="14"/>
    </row>
    <row r="14" spans="1:13" ht="10.75" customHeight="1" x14ac:dyDescent="0.15">
      <c r="A14" s="1419"/>
      <c r="B14" s="1420"/>
      <c r="C14" s="2148"/>
      <c r="D14" s="2131"/>
      <c r="E14" s="1421"/>
      <c r="F14" s="1422"/>
      <c r="G14" s="2148"/>
      <c r="H14" s="2167"/>
      <c r="I14" s="1423"/>
      <c r="J14" s="1423"/>
      <c r="K14" s="1424"/>
      <c r="L14" s="1419"/>
      <c r="M14" s="14"/>
    </row>
    <row r="15" spans="1:13" ht="21.25" customHeight="1" x14ac:dyDescent="0.15">
      <c r="A15" s="1419"/>
      <c r="B15" s="2778" t="s">
        <v>19</v>
      </c>
      <c r="C15" s="2779"/>
      <c r="D15" s="2779"/>
      <c r="E15" s="2779"/>
      <c r="F15" s="2779"/>
      <c r="G15" s="2779"/>
      <c r="H15" s="2779"/>
      <c r="I15" s="2779"/>
      <c r="J15" s="2779"/>
      <c r="K15" s="2779"/>
      <c r="L15" s="1419"/>
      <c r="M15" s="14"/>
    </row>
    <row r="16" spans="1:13" ht="16" customHeight="1" x14ac:dyDescent="0.15">
      <c r="A16" s="1419"/>
      <c r="B16" s="1400"/>
      <c r="C16" s="2149" t="s">
        <v>394</v>
      </c>
      <c r="D16" s="2132" t="s">
        <v>2</v>
      </c>
      <c r="E16" s="1356" t="s">
        <v>3</v>
      </c>
      <c r="F16" s="1359" t="s">
        <v>4</v>
      </c>
      <c r="G16" s="2149" t="s">
        <v>20</v>
      </c>
      <c r="H16" s="2168" t="s">
        <v>21</v>
      </c>
      <c r="I16" s="2773" t="s">
        <v>22</v>
      </c>
      <c r="J16" s="2774"/>
      <c r="K16" s="1382"/>
      <c r="L16" s="1419"/>
      <c r="M16" s="14"/>
    </row>
    <row r="17" spans="1:13" ht="21" customHeight="1" x14ac:dyDescent="0.15">
      <c r="A17" s="1419"/>
      <c r="B17" s="1401" t="s">
        <v>9</v>
      </c>
      <c r="C17" s="2057">
        <v>109.75801127905299</v>
      </c>
      <c r="D17" s="1372">
        <v>122.94643170489201</v>
      </c>
      <c r="E17" s="2047">
        <v>-3.8350463383759998</v>
      </c>
      <c r="F17" s="1964">
        <v>4.557844495166</v>
      </c>
      <c r="G17" s="2057">
        <v>2.578593021E-3</v>
      </c>
      <c r="H17" s="2169">
        <v>2.5480727690000001E-3</v>
      </c>
      <c r="I17" s="1360" t="s">
        <v>353</v>
      </c>
      <c r="J17" s="1468">
        <v>255.952</v>
      </c>
      <c r="K17" s="1362"/>
      <c r="L17" s="1419"/>
      <c r="M17" s="14"/>
    </row>
    <row r="18" spans="1:13" ht="21" customHeight="1" x14ac:dyDescent="0.15">
      <c r="A18" s="1419"/>
      <c r="B18" s="1402" t="s">
        <v>10</v>
      </c>
      <c r="C18" s="2058">
        <v>224.7261263922</v>
      </c>
      <c r="D18" s="1373">
        <v>223.410727433494</v>
      </c>
      <c r="E18" s="2048">
        <v>-0.51919243163499995</v>
      </c>
      <c r="F18" s="1965">
        <v>0.17454768739900001</v>
      </c>
      <c r="G18" s="2058">
        <v>0.67331924911600005</v>
      </c>
      <c r="H18" s="2170">
        <v>0.675486180514</v>
      </c>
      <c r="I18" s="1360" t="s">
        <v>360</v>
      </c>
      <c r="J18" s="1468">
        <v>189.8759</v>
      </c>
      <c r="K18" s="1363"/>
      <c r="L18" s="1419"/>
      <c r="M18" s="14"/>
    </row>
    <row r="19" spans="1:13" ht="21" customHeight="1" x14ac:dyDescent="0.15">
      <c r="A19" s="1419"/>
      <c r="B19" s="1392" t="s">
        <v>11</v>
      </c>
      <c r="C19" s="1369">
        <v>205.388650138771</v>
      </c>
      <c r="D19" s="1374">
        <v>206.639048765078</v>
      </c>
      <c r="E19" s="2534">
        <v>1.481957042838</v>
      </c>
      <c r="F19" s="1982">
        <v>1.4682451239730001</v>
      </c>
      <c r="G19" s="2150">
        <v>1.5989878965819999</v>
      </c>
      <c r="H19" s="2171">
        <v>1.6020612870549999</v>
      </c>
      <c r="I19" s="1360" t="s">
        <v>367</v>
      </c>
      <c r="J19" s="1468">
        <f>J17-180</f>
        <v>75.951999999999998</v>
      </c>
      <c r="K19" s="1364"/>
      <c r="L19" s="1419"/>
      <c r="M19" s="14"/>
    </row>
    <row r="20" spans="1:13" ht="21" customHeight="1" x14ac:dyDescent="0.15">
      <c r="A20" s="1419"/>
      <c r="B20" s="1403" t="s">
        <v>23</v>
      </c>
      <c r="C20" s="2059">
        <v>222.98508614232799</v>
      </c>
      <c r="D20" s="1967">
        <v>223.987967215048</v>
      </c>
      <c r="E20" s="2066">
        <v>-3.7658911000000003E-5</v>
      </c>
      <c r="F20" s="1966">
        <v>5.8869821999999997E-5</v>
      </c>
      <c r="G20" s="2059">
        <v>0.99137293665299997</v>
      </c>
      <c r="H20" s="2172">
        <v>0.99113270101600004</v>
      </c>
      <c r="I20" s="1360" t="s">
        <v>368</v>
      </c>
      <c r="J20" s="1468">
        <f>(J18+180)-360</f>
        <v>9.8759000000000015</v>
      </c>
      <c r="K20" s="1365"/>
      <c r="L20" s="1419"/>
      <c r="M20" s="14"/>
    </row>
    <row r="21" spans="1:13" ht="21" customHeight="1" x14ac:dyDescent="0.15">
      <c r="A21" s="1419"/>
      <c r="B21" s="1404" t="s">
        <v>13</v>
      </c>
      <c r="C21" s="2060">
        <v>237.268076270542</v>
      </c>
      <c r="D21" s="1375">
        <v>237.981466910791</v>
      </c>
      <c r="E21" s="2067">
        <v>-0.334833631661</v>
      </c>
      <c r="F21" s="2530">
        <v>0.34458387491499998</v>
      </c>
      <c r="G21" s="2060">
        <v>2.4496501080840001</v>
      </c>
      <c r="H21" s="2173">
        <v>2.450115016671</v>
      </c>
      <c r="I21" s="1360" t="s">
        <v>354</v>
      </c>
      <c r="J21" s="2550">
        <v>293.92660000000001</v>
      </c>
      <c r="K21" s="1380"/>
      <c r="L21" s="1419"/>
      <c r="M21" s="14"/>
    </row>
    <row r="22" spans="1:13" ht="21" customHeight="1" x14ac:dyDescent="0.15">
      <c r="A22" s="1419"/>
      <c r="B22" s="1405" t="s">
        <v>14</v>
      </c>
      <c r="C22" s="2061">
        <v>208.95107394164501</v>
      </c>
      <c r="D22" s="1376">
        <v>209.16530536449901</v>
      </c>
      <c r="E22" s="2052">
        <v>1.067033625881</v>
      </c>
      <c r="F22" s="1970">
        <v>1.0673279041870001</v>
      </c>
      <c r="G22" s="2061">
        <v>6.4056374252659998</v>
      </c>
      <c r="H22" s="2174">
        <v>6.4013402316920001</v>
      </c>
      <c r="I22" s="1360" t="s">
        <v>355</v>
      </c>
      <c r="J22" s="2550">
        <v>331.90120000000002</v>
      </c>
      <c r="K22" s="1381"/>
      <c r="L22" s="1419"/>
      <c r="M22" s="14"/>
    </row>
    <row r="23" spans="1:13" ht="21" customHeight="1" x14ac:dyDescent="0.15">
      <c r="A23" s="1419"/>
      <c r="B23" s="1406" t="s">
        <v>15</v>
      </c>
      <c r="C23" s="2062">
        <v>323.69285293482699</v>
      </c>
      <c r="D23" s="1377">
        <v>323.70800388830497</v>
      </c>
      <c r="E23" s="2071">
        <v>-1.490765142873</v>
      </c>
      <c r="F23" s="2531">
        <v>1.489327988121</v>
      </c>
      <c r="G23" s="2062">
        <v>9.5599089635149994</v>
      </c>
      <c r="H23" s="2175">
        <v>9.5762349930700008</v>
      </c>
      <c r="I23" s="1371" t="s">
        <v>356</v>
      </c>
      <c r="J23" s="1468">
        <v>53.926666666666598</v>
      </c>
      <c r="K23" s="1366"/>
      <c r="L23" s="1419"/>
      <c r="M23" s="14"/>
    </row>
    <row r="24" spans="1:13" ht="21" customHeight="1" x14ac:dyDescent="0.15">
      <c r="A24" s="1419"/>
      <c r="B24" s="1407" t="s">
        <v>16</v>
      </c>
      <c r="C24" s="2063">
        <v>288.86595003779098</v>
      </c>
      <c r="D24" s="1378">
        <v>288.89830673712299</v>
      </c>
      <c r="E24" s="2533">
        <v>-0.46115336514700001</v>
      </c>
      <c r="F24" s="2532">
        <v>0.46091545050499999</v>
      </c>
      <c r="G24" s="2063">
        <v>20.008052406889998</v>
      </c>
      <c r="H24" s="2176">
        <v>20.023713882890998</v>
      </c>
      <c r="I24" s="1360" t="s">
        <v>357</v>
      </c>
      <c r="J24" s="1468">
        <v>75.946666666666601</v>
      </c>
      <c r="K24" s="1367"/>
      <c r="L24" s="1419"/>
      <c r="M24" s="14"/>
    </row>
    <row r="25" spans="1:13" ht="21" customHeight="1" x14ac:dyDescent="0.15">
      <c r="A25" s="1419"/>
      <c r="B25" s="1408" t="s">
        <v>17</v>
      </c>
      <c r="C25" s="2064">
        <v>288.74017110305999</v>
      </c>
      <c r="D25" s="1379">
        <v>288.76008787393403</v>
      </c>
      <c r="E25" s="2068">
        <v>0.63385470736500005</v>
      </c>
      <c r="F25" s="1971">
        <v>0.63336222313000001</v>
      </c>
      <c r="G25" s="2064">
        <v>30.575522948659</v>
      </c>
      <c r="H25" s="2177">
        <v>30.591066454444999</v>
      </c>
      <c r="I25" s="1360" t="s">
        <v>361</v>
      </c>
      <c r="J25" s="1468">
        <v>243.143486846744</v>
      </c>
      <c r="K25" s="592"/>
      <c r="L25" s="1419"/>
      <c r="M25" s="14"/>
    </row>
    <row r="26" spans="1:13" ht="21" customHeight="1" x14ac:dyDescent="0.15">
      <c r="A26" s="1419"/>
      <c r="B26" s="1409" t="s">
        <v>18</v>
      </c>
      <c r="C26" s="2065">
        <v>234.940265098297</v>
      </c>
      <c r="D26" s="1410">
        <v>234.97975508459601</v>
      </c>
      <c r="E26" s="2056">
        <v>13.713267771566001</v>
      </c>
      <c r="F26" s="1973">
        <v>13.710740863541</v>
      </c>
      <c r="G26" s="2065">
        <v>30.695166318175001</v>
      </c>
      <c r="H26" s="2178">
        <v>30.698397339433999</v>
      </c>
      <c r="I26" s="1360"/>
      <c r="J26" s="1357"/>
      <c r="K26" s="1399"/>
      <c r="L26" s="1419"/>
      <c r="M26" s="14"/>
    </row>
    <row r="27" spans="1:13" ht="10.75" customHeight="1" x14ac:dyDescent="0.15">
      <c r="A27" s="1419"/>
      <c r="B27" s="1420"/>
      <c r="C27" s="2133"/>
      <c r="D27" s="2133"/>
      <c r="E27" s="1426"/>
      <c r="F27" s="1425"/>
      <c r="G27" s="2133"/>
      <c r="H27" s="2179"/>
      <c r="I27" s="1427"/>
      <c r="J27" s="1428"/>
      <c r="K27" s="1429"/>
      <c r="L27" s="1419"/>
      <c r="M27" s="14"/>
    </row>
    <row r="28" spans="1:13" ht="21.25" customHeight="1" x14ac:dyDescent="0.15">
      <c r="A28" s="1419"/>
      <c r="B28" s="2778" t="s">
        <v>24</v>
      </c>
      <c r="C28" s="2779"/>
      <c r="D28" s="2779"/>
      <c r="E28" s="2779"/>
      <c r="F28" s="2779"/>
      <c r="G28" s="2779"/>
      <c r="H28" s="2779"/>
      <c r="I28" s="2779"/>
      <c r="J28" s="2779"/>
      <c r="K28" s="2779"/>
      <c r="L28" s="1419"/>
      <c r="M28" s="14"/>
    </row>
    <row r="29" spans="1:13" ht="13.75" customHeight="1" x14ac:dyDescent="0.15">
      <c r="A29" s="1419"/>
      <c r="B29" s="1389"/>
      <c r="C29" s="2138" t="s">
        <v>1</v>
      </c>
      <c r="D29" s="2121" t="s">
        <v>2</v>
      </c>
      <c r="E29" s="9" t="s">
        <v>3</v>
      </c>
      <c r="F29" s="1358" t="s">
        <v>4</v>
      </c>
      <c r="G29" s="2149" t="s">
        <v>20</v>
      </c>
      <c r="H29" s="2168" t="s">
        <v>21</v>
      </c>
      <c r="I29" s="2785"/>
      <c r="J29" s="2786"/>
      <c r="K29" s="2787"/>
      <c r="L29" s="1419"/>
      <c r="M29" s="14"/>
    </row>
    <row r="30" spans="1:13" ht="21" customHeight="1" x14ac:dyDescent="0.15">
      <c r="A30" s="1419"/>
      <c r="B30" s="1401" t="s">
        <v>9</v>
      </c>
      <c r="C30" s="2057">
        <v>110.79536905619</v>
      </c>
      <c r="D30" s="1372">
        <v>124.15394086050701</v>
      </c>
      <c r="E30" s="2538">
        <v>18.188926471508999</v>
      </c>
      <c r="F30" s="2535">
        <v>15.060464749775999</v>
      </c>
      <c r="G30" s="2057">
        <v>2.578593021E-3</v>
      </c>
      <c r="H30" s="2169">
        <v>2.5480727690000001E-3</v>
      </c>
      <c r="I30" s="2784"/>
      <c r="J30" s="2784"/>
      <c r="K30" s="2784"/>
      <c r="L30" s="1419"/>
      <c r="M30" s="14"/>
    </row>
    <row r="31" spans="1:13" ht="21" customHeight="1" x14ac:dyDescent="0.15">
      <c r="A31" s="1419"/>
      <c r="B31" s="1402" t="s">
        <v>10</v>
      </c>
      <c r="C31" s="2058">
        <v>222.10353243961501</v>
      </c>
      <c r="D31" s="1373">
        <v>220.90169783992599</v>
      </c>
      <c r="E31" s="2048">
        <v>-16.751539650171001</v>
      </c>
      <c r="F31" s="1965">
        <v>16.030688583313999</v>
      </c>
      <c r="G31" s="2058">
        <v>0.67331924911600005</v>
      </c>
      <c r="H31" s="2170">
        <v>0.675486180514</v>
      </c>
      <c r="I31" s="2783"/>
      <c r="J31" s="2783"/>
      <c r="K31" s="2783"/>
      <c r="L31" s="1419"/>
      <c r="M31" s="14"/>
    </row>
    <row r="32" spans="1:13" ht="21" customHeight="1" x14ac:dyDescent="0.15">
      <c r="A32" s="1419"/>
      <c r="B32" s="1392" t="s">
        <v>11</v>
      </c>
      <c r="C32" s="2150">
        <v>204.076125593265</v>
      </c>
      <c r="D32" s="1374">
        <v>205.249991707406</v>
      </c>
      <c r="E32" s="2049">
        <v>-8.4393323745130004</v>
      </c>
      <c r="F32" s="1968">
        <v>8.9041124975559995</v>
      </c>
      <c r="G32" s="2150">
        <v>1.5989878965819999</v>
      </c>
      <c r="H32" s="2171">
        <v>1.6020612870549999</v>
      </c>
      <c r="I32" s="2782"/>
      <c r="J32" s="2782"/>
      <c r="K32" s="2782"/>
      <c r="L32" s="1419"/>
      <c r="M32" s="14"/>
    </row>
    <row r="33" spans="1:13" ht="21" customHeight="1" x14ac:dyDescent="0.15">
      <c r="A33" s="1419"/>
      <c r="B33" s="1403" t="s">
        <v>23</v>
      </c>
      <c r="C33" s="2059">
        <v>220.534452340824</v>
      </c>
      <c r="D33" s="1967">
        <v>221.529107747659</v>
      </c>
      <c r="E33" s="2050">
        <v>-15.735973250409</v>
      </c>
      <c r="F33" s="2536">
        <v>16.036914506689001</v>
      </c>
      <c r="G33" s="2059">
        <v>0.99137293665299997</v>
      </c>
      <c r="H33" s="2172">
        <v>0.99113270101600004</v>
      </c>
      <c r="I33" s="2781"/>
      <c r="J33" s="2781"/>
      <c r="K33" s="2781"/>
      <c r="L33" s="1419"/>
      <c r="M33" s="14"/>
    </row>
    <row r="34" spans="1:13" ht="21" customHeight="1" x14ac:dyDescent="0.15">
      <c r="A34" s="1419"/>
      <c r="B34" s="1404" t="s">
        <v>13</v>
      </c>
      <c r="C34" s="2060">
        <v>234.90423052098501</v>
      </c>
      <c r="D34" s="1375">
        <v>235.64110770157399</v>
      </c>
      <c r="E34" s="2051">
        <v>-19.874787399896</v>
      </c>
      <c r="F34" s="1969">
        <v>20.045939296512</v>
      </c>
      <c r="G34" s="2060">
        <v>2.4496501080840001</v>
      </c>
      <c r="H34" s="2173">
        <v>2.450115016671</v>
      </c>
      <c r="I34" s="2771"/>
      <c r="J34" s="2771"/>
      <c r="K34" s="2771"/>
      <c r="L34" s="1419"/>
      <c r="M34" s="14"/>
    </row>
    <row r="35" spans="1:13" ht="21" customHeight="1" x14ac:dyDescent="0.15">
      <c r="A35" s="1419"/>
      <c r="B35" s="1405" t="s">
        <v>14</v>
      </c>
      <c r="C35" s="2061">
        <v>207.29431510394099</v>
      </c>
      <c r="D35" s="1376">
        <v>207.49798797942</v>
      </c>
      <c r="E35" s="2052">
        <v>-10.103547010951001</v>
      </c>
      <c r="F35" s="1983">
        <v>10.178930812949</v>
      </c>
      <c r="G35" s="2061">
        <v>6.4056374252659998</v>
      </c>
      <c r="H35" s="2174">
        <v>6.4013402316920001</v>
      </c>
      <c r="I35" s="2770"/>
      <c r="J35" s="2770"/>
      <c r="K35" s="2770"/>
      <c r="L35" s="1419"/>
      <c r="M35" s="14"/>
    </row>
    <row r="36" spans="1:13" ht="21" customHeight="1" x14ac:dyDescent="0.15">
      <c r="A36" s="1419"/>
      <c r="B36" s="1406" t="s">
        <v>15</v>
      </c>
      <c r="C36" s="2062">
        <v>326.52375230942198</v>
      </c>
      <c r="D36" s="1377">
        <v>326.53805185857601</v>
      </c>
      <c r="E36" s="2053">
        <v>-15.029463775579</v>
      </c>
      <c r="F36" s="2531">
        <v>15.023082058341</v>
      </c>
      <c r="G36" s="2062">
        <v>9.5599089635149994</v>
      </c>
      <c r="H36" s="2175">
        <v>9.5762349930700008</v>
      </c>
      <c r="I36" s="2780"/>
      <c r="J36" s="2780"/>
      <c r="K36" s="2780"/>
      <c r="L36" s="1419"/>
      <c r="M36" s="14"/>
    </row>
    <row r="37" spans="1:13" ht="21" customHeight="1" x14ac:dyDescent="0.15">
      <c r="A37" s="1419"/>
      <c r="B37" s="1407" t="s">
        <v>16</v>
      </c>
      <c r="C37" s="2063">
        <v>290.49694236174702</v>
      </c>
      <c r="D37" s="1378">
        <v>290.53160275671002</v>
      </c>
      <c r="E37" s="2054">
        <v>-22.567720390879</v>
      </c>
      <c r="F37" s="2532">
        <v>22.562976577010001</v>
      </c>
      <c r="G37" s="2063">
        <v>20.008052406889998</v>
      </c>
      <c r="H37" s="2176">
        <v>20.023713882890998</v>
      </c>
      <c r="I37" s="2777"/>
      <c r="J37" s="2777"/>
      <c r="K37" s="2777"/>
      <c r="L37" s="1419"/>
      <c r="M37" s="14"/>
    </row>
    <row r="38" spans="1:13" ht="21" customHeight="1" x14ac:dyDescent="0.15">
      <c r="A38" s="1419"/>
      <c r="B38" s="1408" t="s">
        <v>17</v>
      </c>
      <c r="C38" s="2064">
        <v>290.19916323695298</v>
      </c>
      <c r="D38" s="1379">
        <v>290.22043810257202</v>
      </c>
      <c r="E38" s="2055">
        <v>-21.500633901091</v>
      </c>
      <c r="F38" s="1972">
        <v>21.498387034537</v>
      </c>
      <c r="G38" s="2064">
        <v>30.575522948659</v>
      </c>
      <c r="H38" s="2177">
        <v>30.591066454444999</v>
      </c>
      <c r="I38" s="2776"/>
      <c r="J38" s="2776"/>
      <c r="K38" s="2776"/>
      <c r="L38" s="1419"/>
      <c r="M38" s="14"/>
    </row>
    <row r="39" spans="1:13" ht="22" customHeight="1" x14ac:dyDescent="0.15">
      <c r="A39" s="1419"/>
      <c r="B39" s="1409" t="s">
        <v>18</v>
      </c>
      <c r="C39" s="2065">
        <v>235.888843060071</v>
      </c>
      <c r="D39" s="1410">
        <v>235.92578460033701</v>
      </c>
      <c r="E39" s="2056">
        <v>-5.6709219654950003</v>
      </c>
      <c r="F39" s="2537">
        <v>5.6821881980509996</v>
      </c>
      <c r="G39" s="2065">
        <v>30.695166318175001</v>
      </c>
      <c r="H39" s="2178">
        <v>30.698397339433999</v>
      </c>
      <c r="I39" s="2775"/>
      <c r="J39" s="2775"/>
      <c r="K39" s="2775"/>
      <c r="L39" s="1419"/>
      <c r="M39" s="14"/>
    </row>
    <row r="40" spans="1:13" ht="10.75" customHeight="1" x14ac:dyDescent="0.15">
      <c r="A40" s="1419"/>
      <c r="B40" s="1420"/>
      <c r="C40" s="2151"/>
      <c r="D40" s="2134"/>
      <c r="E40" s="1430"/>
      <c r="F40" s="1431"/>
      <c r="G40" s="2134"/>
      <c r="H40" s="2180"/>
      <c r="I40" s="1431"/>
      <c r="J40" s="1431"/>
      <c r="K40" s="1432"/>
      <c r="L40" s="1419"/>
      <c r="M40" s="14"/>
    </row>
    <row r="41" spans="1:13" ht="21.25" customHeight="1" x14ac:dyDescent="0.15">
      <c r="A41" s="1419"/>
      <c r="B41" s="2778" t="s">
        <v>25</v>
      </c>
      <c r="C41" s="2779"/>
      <c r="D41" s="2779"/>
      <c r="E41" s="2779"/>
      <c r="F41" s="2779"/>
      <c r="G41" s="2779"/>
      <c r="H41" s="2779"/>
      <c r="I41" s="2779"/>
      <c r="J41" s="2779"/>
      <c r="K41" s="2779"/>
      <c r="L41" s="1419"/>
      <c r="M41" s="14"/>
    </row>
    <row r="42" spans="1:13" ht="15" customHeight="1" x14ac:dyDescent="0.15">
      <c r="A42" s="1419"/>
      <c r="B42" s="487"/>
      <c r="C42" s="2135" t="s">
        <v>26</v>
      </c>
      <c r="D42" s="2135" t="s">
        <v>27</v>
      </c>
      <c r="E42" s="18" t="s">
        <v>28</v>
      </c>
      <c r="F42" s="18" t="s">
        <v>29</v>
      </c>
      <c r="G42" s="2772" t="s">
        <v>30</v>
      </c>
      <c r="H42" s="2772"/>
      <c r="I42" s="2773" t="s">
        <v>31</v>
      </c>
      <c r="J42" s="2774"/>
      <c r="K42" s="1642" t="s">
        <v>33</v>
      </c>
      <c r="L42" s="1419"/>
      <c r="M42" s="100" t="s">
        <v>32</v>
      </c>
    </row>
    <row r="43" spans="1:13" ht="21" customHeight="1" x14ac:dyDescent="0.15">
      <c r="A43" s="1419"/>
      <c r="B43" s="1390" t="s">
        <v>9</v>
      </c>
      <c r="C43" s="2110">
        <v>276.79899999999998</v>
      </c>
      <c r="D43" s="2540">
        <v>27.563484664609</v>
      </c>
      <c r="E43" s="1370">
        <v>-10.44</v>
      </c>
      <c r="F43" s="1370">
        <v>2.528082232E-3</v>
      </c>
      <c r="G43" s="2152" t="s">
        <v>362</v>
      </c>
      <c r="H43" s="2539">
        <v>0.27603009259259259</v>
      </c>
      <c r="I43" s="15"/>
      <c r="J43" s="20"/>
      <c r="K43" s="1985" t="s">
        <v>465</v>
      </c>
      <c r="L43" s="1419"/>
      <c r="M43" s="101">
        <v>109</v>
      </c>
    </row>
    <row r="44" spans="1:13" ht="21" customHeight="1" x14ac:dyDescent="0.15">
      <c r="A44" s="1419"/>
      <c r="B44" s="1391" t="s">
        <v>10</v>
      </c>
      <c r="C44" s="2111">
        <v>33.526000000000003</v>
      </c>
      <c r="D44" s="2541">
        <v>22.732587163971999</v>
      </c>
      <c r="E44" s="1383">
        <v>3.12</v>
      </c>
      <c r="F44" s="1383">
        <v>0.67545368735599998</v>
      </c>
      <c r="G44" s="2153" t="s">
        <v>365</v>
      </c>
      <c r="H44" s="2181">
        <v>67.874335187</v>
      </c>
      <c r="I44" s="1470" t="s">
        <v>354</v>
      </c>
      <c r="J44" s="1471"/>
      <c r="K44" s="1985" t="s">
        <v>466</v>
      </c>
      <c r="L44" s="1419"/>
      <c r="M44" s="101">
        <v>40</v>
      </c>
    </row>
    <row r="45" spans="1:13" ht="21" customHeight="1" x14ac:dyDescent="0.15">
      <c r="A45" s="1419"/>
      <c r="B45" s="1417" t="s">
        <v>11</v>
      </c>
      <c r="C45" s="2112">
        <v>19.712</v>
      </c>
      <c r="D45" s="2542">
        <v>34.507587577119999</v>
      </c>
      <c r="E45" s="1384">
        <v>-3.37</v>
      </c>
      <c r="F45" s="1384">
        <v>1.6019588482030001</v>
      </c>
      <c r="G45" s="2152" t="s">
        <v>363</v>
      </c>
      <c r="H45" s="2539">
        <v>0.68957175925925929</v>
      </c>
      <c r="I45" s="1470" t="s">
        <v>355</v>
      </c>
      <c r="J45" s="1471"/>
      <c r="K45" s="1985" t="s">
        <v>467</v>
      </c>
      <c r="L45" s="1419"/>
      <c r="M45" s="102">
        <f>M43+M44/60</f>
        <v>109.66666666666667</v>
      </c>
    </row>
    <row r="46" spans="1:13" ht="21" customHeight="1" x14ac:dyDescent="0.15">
      <c r="A46" s="1419"/>
      <c r="B46" s="1418" t="s">
        <v>23</v>
      </c>
      <c r="C46" s="2113">
        <v>34.110999999999997</v>
      </c>
      <c r="D46" s="2543">
        <v>22.487530990964999</v>
      </c>
      <c r="E46" s="1641">
        <v>-26.7</v>
      </c>
      <c r="F46" s="1641">
        <v>0.99111767683800001</v>
      </c>
      <c r="G46" s="2153" t="s">
        <v>364</v>
      </c>
      <c r="H46" s="2181">
        <v>292.361897226</v>
      </c>
      <c r="I46" s="1470" t="s">
        <v>356</v>
      </c>
      <c r="J46" s="1471"/>
      <c r="K46" s="1985" t="s">
        <v>468</v>
      </c>
      <c r="L46" s="1419"/>
      <c r="M46" s="100" t="s">
        <v>34</v>
      </c>
    </row>
    <row r="47" spans="1:13" ht="21" customHeight="1" x14ac:dyDescent="0.15">
      <c r="A47" s="1419"/>
      <c r="B47" s="1355" t="s">
        <v>13</v>
      </c>
      <c r="C47" s="2114">
        <v>44.499000000000002</v>
      </c>
      <c r="D47" s="2544">
        <v>12.586773605461</v>
      </c>
      <c r="E47" s="1368">
        <v>1.67</v>
      </c>
      <c r="F47" s="1956">
        <v>2.4501554357469999</v>
      </c>
      <c r="G47" s="2154"/>
      <c r="H47" s="2182"/>
      <c r="I47" s="1470" t="s">
        <v>370</v>
      </c>
      <c r="J47" s="1471"/>
      <c r="K47" s="1985" t="s">
        <v>469</v>
      </c>
      <c r="L47" s="1419"/>
      <c r="M47" s="103">
        <f>360-M45</f>
        <v>250.33333333333331</v>
      </c>
    </row>
    <row r="48" spans="1:13" ht="21" customHeight="1" x14ac:dyDescent="0.15">
      <c r="A48" s="1419"/>
      <c r="B48" s="1394" t="s">
        <v>14</v>
      </c>
      <c r="C48" s="2115">
        <v>21.896000000000001</v>
      </c>
      <c r="D48" s="2545">
        <v>32.705316695716</v>
      </c>
      <c r="E48" s="1385">
        <v>-1.22</v>
      </c>
      <c r="F48" s="1385">
        <v>6.401307282596</v>
      </c>
      <c r="G48" s="1703"/>
      <c r="H48" s="2182"/>
      <c r="I48" s="1470" t="s">
        <v>359</v>
      </c>
      <c r="J48" s="1471"/>
      <c r="K48" s="1985" t="s">
        <v>470</v>
      </c>
      <c r="L48" s="1419"/>
      <c r="M48" s="14"/>
    </row>
    <row r="49" spans="1:13" ht="21" customHeight="1" x14ac:dyDescent="0.15">
      <c r="A49" s="1419"/>
      <c r="B49" s="1395" t="s">
        <v>15</v>
      </c>
      <c r="C49" s="2116">
        <v>115.929</v>
      </c>
      <c r="D49" s="2547">
        <v>43.645407062063001</v>
      </c>
      <c r="E49" s="1984">
        <v>1.43</v>
      </c>
      <c r="F49" s="1386">
        <v>9.5763078935110002</v>
      </c>
      <c r="G49" s="2154"/>
      <c r="H49" s="2182"/>
      <c r="I49" s="1470" t="s">
        <v>358</v>
      </c>
      <c r="J49" s="1471"/>
      <c r="K49" s="1986" t="s">
        <v>471</v>
      </c>
      <c r="L49" s="1419"/>
      <c r="M49" s="14"/>
    </row>
    <row r="50" spans="1:13" ht="21" customHeight="1" x14ac:dyDescent="0.15">
      <c r="A50" s="1419"/>
      <c r="B50" s="1407" t="s">
        <v>16</v>
      </c>
      <c r="C50" s="2117">
        <v>81.042000000000002</v>
      </c>
      <c r="D50" s="2548">
        <v>23.698975320605999</v>
      </c>
      <c r="E50" s="1387">
        <v>6.12</v>
      </c>
      <c r="F50" s="1387">
        <v>20.023732295835</v>
      </c>
      <c r="G50" s="2154"/>
      <c r="H50" s="2182"/>
      <c r="I50" s="1472" t="s">
        <v>371</v>
      </c>
      <c r="J50" s="1471"/>
      <c r="K50" s="1987" t="s">
        <v>395</v>
      </c>
      <c r="L50" s="1419"/>
      <c r="M50" s="14"/>
    </row>
    <row r="51" spans="1:13" ht="21" customHeight="1" x14ac:dyDescent="0.15">
      <c r="A51" s="1419"/>
      <c r="B51" s="1397" t="s">
        <v>17</v>
      </c>
      <c r="C51" s="2118">
        <v>81.718000000000004</v>
      </c>
      <c r="D51" s="2549">
        <v>22.787488784979999</v>
      </c>
      <c r="E51" s="1388">
        <v>7.78</v>
      </c>
      <c r="F51" s="1388">
        <v>30.591102728172</v>
      </c>
      <c r="G51" s="2154"/>
      <c r="H51" s="2182"/>
      <c r="I51" s="1472" t="s">
        <v>372</v>
      </c>
      <c r="J51" s="1471"/>
      <c r="K51" s="1361"/>
      <c r="L51" s="1419"/>
      <c r="M51" s="14"/>
    </row>
    <row r="52" spans="1:13" ht="21" customHeight="1" x14ac:dyDescent="0.15">
      <c r="A52" s="1419"/>
      <c r="B52" s="1398" t="s">
        <v>18</v>
      </c>
      <c r="C52" s="2119">
        <v>53.091999999999999</v>
      </c>
      <c r="D52" s="2546">
        <v>24.432702685660999</v>
      </c>
      <c r="E52" s="1416">
        <v>14.66</v>
      </c>
      <c r="F52" s="1416">
        <v>30.698360483142999</v>
      </c>
      <c r="G52" s="2154"/>
      <c r="H52" s="2182"/>
      <c r="I52" s="1360"/>
      <c r="J52" s="1469"/>
      <c r="K52" s="1361"/>
      <c r="L52" s="1419"/>
      <c r="M52" s="14"/>
    </row>
    <row r="53" spans="1:13" ht="10.75" customHeight="1" x14ac:dyDescent="0.15">
      <c r="A53" s="1433"/>
      <c r="B53" s="1433"/>
      <c r="C53" s="2136"/>
      <c r="D53" s="2136"/>
      <c r="E53" s="1433"/>
      <c r="F53" s="1433"/>
      <c r="G53" s="2136"/>
      <c r="H53" s="2183"/>
      <c r="I53" s="1433"/>
      <c r="J53" s="1433"/>
      <c r="K53" s="1433"/>
      <c r="L53" s="1433"/>
    </row>
  </sheetData>
  <mergeCells count="18">
    <mergeCell ref="B2:K2"/>
    <mergeCell ref="B15:K15"/>
    <mergeCell ref="I33:K33"/>
    <mergeCell ref="I32:K32"/>
    <mergeCell ref="I31:K31"/>
    <mergeCell ref="I30:K30"/>
    <mergeCell ref="I29:K29"/>
    <mergeCell ref="I35:K35"/>
    <mergeCell ref="I34:K34"/>
    <mergeCell ref="G42:H42"/>
    <mergeCell ref="I16:J16"/>
    <mergeCell ref="I39:K39"/>
    <mergeCell ref="I38:K38"/>
    <mergeCell ref="I37:K37"/>
    <mergeCell ref="B41:K41"/>
    <mergeCell ref="I36:K36"/>
    <mergeCell ref="I42:J42"/>
    <mergeCell ref="B28:K28"/>
  </mergeCells>
  <pageMargins left="0.78749999999999998" right="0.78749999999999998" top="1.0249999999999999" bottom="1.0249999999999999" header="0.78749999999999998" footer="0.78749999999999998"/>
  <pageSetup orientation="portrait"/>
  <headerFooter>
    <oddHeader>&amp;C&amp;"Arial,Regular"&amp;10&amp;K000000Données</oddHeader>
    <oddFooter>&amp;C&amp;"Arial,Regular"&amp;10&amp;K000000Page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0"/>
  <sheetViews>
    <sheetView showGridLines="0" topLeftCell="B9" zoomScale="170" zoomScaleNormal="170" workbookViewId="0">
      <selection activeCell="L24" sqref="L24"/>
    </sheetView>
  </sheetViews>
  <sheetFormatPr baseColWidth="10" defaultColWidth="8.83203125" defaultRowHeight="13" customHeight="1" x14ac:dyDescent="0.15"/>
  <cols>
    <col min="1" max="1" width="8.83203125" style="985" customWidth="1"/>
    <col min="2" max="2" width="13.83203125" style="985" customWidth="1"/>
    <col min="3" max="8" width="12.83203125" style="985" customWidth="1"/>
    <col min="9" max="9" width="14.33203125" style="985" customWidth="1"/>
    <col min="10" max="12" width="14" style="985" customWidth="1"/>
    <col min="13" max="13" width="12.5" style="985" customWidth="1"/>
    <col min="14" max="20" width="8.83203125" style="985" customWidth="1"/>
    <col min="21" max="21" width="68.5" style="985" customWidth="1"/>
    <col min="22" max="255" width="8.83203125" style="985" customWidth="1"/>
  </cols>
  <sheetData>
    <row r="1" spans="1:255" ht="13" customHeight="1" x14ac:dyDescent="0.15">
      <c r="A1" s="986"/>
      <c r="B1" s="2855" t="s">
        <v>276</v>
      </c>
      <c r="C1" s="2856"/>
      <c r="D1" s="2856"/>
      <c r="E1" s="2856"/>
      <c r="F1" s="2856"/>
      <c r="G1" s="2856"/>
      <c r="H1" s="2856"/>
      <c r="I1" s="2856"/>
      <c r="J1" s="2856"/>
      <c r="K1" s="2856"/>
      <c r="L1" s="2856"/>
      <c r="M1" s="2856"/>
      <c r="N1" s="987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62"/>
      <c r="BE1" s="262"/>
      <c r="BF1" s="262"/>
      <c r="BG1" s="262"/>
      <c r="BH1" s="262"/>
      <c r="BI1" s="262"/>
      <c r="BJ1" s="262"/>
      <c r="BK1" s="262"/>
      <c r="BL1" s="262"/>
      <c r="BM1" s="262"/>
      <c r="BN1" s="262"/>
      <c r="BO1" s="262"/>
      <c r="BP1" s="262"/>
      <c r="BQ1" s="262"/>
      <c r="BR1" s="262"/>
      <c r="BS1" s="262"/>
      <c r="BT1" s="262"/>
      <c r="BU1" s="262"/>
      <c r="BV1" s="262"/>
      <c r="BW1" s="262"/>
      <c r="BX1" s="262"/>
      <c r="BY1" s="262"/>
      <c r="BZ1" s="262"/>
      <c r="CA1" s="262"/>
      <c r="CB1" s="262"/>
      <c r="CC1" s="262"/>
      <c r="CD1" s="262"/>
      <c r="CE1" s="262"/>
      <c r="CF1" s="262"/>
      <c r="CG1" s="262"/>
      <c r="CH1" s="262"/>
      <c r="CI1" s="262"/>
      <c r="CJ1" s="262"/>
      <c r="CK1" s="262"/>
      <c r="CL1" s="262"/>
      <c r="CM1" s="262"/>
      <c r="CN1" s="262"/>
      <c r="CO1" s="262"/>
      <c r="CP1" s="262"/>
      <c r="CQ1" s="262"/>
      <c r="CR1" s="262"/>
      <c r="CS1" s="262"/>
      <c r="CT1" s="262"/>
      <c r="CU1" s="262"/>
      <c r="CV1" s="262"/>
      <c r="CW1" s="262"/>
      <c r="CX1" s="262"/>
      <c r="CY1" s="262"/>
      <c r="CZ1" s="262"/>
      <c r="DA1" s="262"/>
      <c r="DB1" s="262"/>
      <c r="DC1" s="262"/>
      <c r="DD1" s="262"/>
      <c r="DE1" s="262"/>
      <c r="DF1" s="262"/>
      <c r="DG1" s="262"/>
      <c r="DH1" s="262"/>
      <c r="DI1" s="262"/>
      <c r="DJ1" s="262"/>
      <c r="DK1" s="262"/>
      <c r="DL1" s="262"/>
      <c r="DM1" s="262"/>
      <c r="DN1" s="262"/>
      <c r="DO1" s="262"/>
      <c r="DP1" s="262"/>
      <c r="DQ1" s="262"/>
      <c r="DR1" s="262"/>
      <c r="DS1" s="262"/>
      <c r="DT1" s="262"/>
      <c r="DU1" s="262"/>
      <c r="DV1" s="262"/>
      <c r="DW1" s="262"/>
      <c r="DX1" s="262"/>
      <c r="DY1" s="262"/>
      <c r="DZ1" s="262"/>
      <c r="EA1" s="262"/>
      <c r="EB1" s="262"/>
      <c r="EC1" s="262"/>
      <c r="ED1" s="262"/>
      <c r="EE1" s="262"/>
      <c r="EF1" s="262"/>
      <c r="EG1" s="262"/>
      <c r="EH1" s="262"/>
      <c r="EI1" s="262"/>
      <c r="EJ1" s="262"/>
      <c r="EK1" s="262"/>
      <c r="EL1" s="262"/>
      <c r="EM1" s="262"/>
      <c r="EN1" s="262"/>
      <c r="EO1" s="262"/>
      <c r="EP1" s="262"/>
      <c r="EQ1" s="262"/>
      <c r="ER1" s="262"/>
      <c r="ES1" s="262"/>
      <c r="ET1" s="262"/>
      <c r="EU1" s="262"/>
      <c r="EV1" s="262"/>
      <c r="EW1" s="262"/>
      <c r="EX1" s="262"/>
      <c r="EY1" s="262"/>
      <c r="EZ1" s="262"/>
      <c r="FA1" s="262"/>
      <c r="FB1" s="262"/>
      <c r="FC1" s="262"/>
      <c r="FD1" s="262"/>
      <c r="FE1" s="262"/>
      <c r="FF1" s="262"/>
      <c r="FG1" s="262"/>
      <c r="FH1" s="262"/>
      <c r="FI1" s="262"/>
      <c r="FJ1" s="262"/>
      <c r="FK1" s="262"/>
      <c r="FL1" s="262"/>
      <c r="FM1" s="262"/>
      <c r="FN1" s="262"/>
      <c r="FO1" s="262"/>
      <c r="FP1" s="262"/>
      <c r="FQ1" s="262"/>
      <c r="FR1" s="262"/>
      <c r="FS1" s="262"/>
      <c r="FT1" s="262"/>
      <c r="FU1" s="262"/>
      <c r="FV1" s="262"/>
      <c r="FW1" s="262"/>
      <c r="FX1" s="262"/>
      <c r="FY1" s="262"/>
      <c r="FZ1" s="262"/>
      <c r="GA1" s="262"/>
      <c r="GB1" s="262"/>
      <c r="GC1" s="262"/>
      <c r="GD1" s="262"/>
      <c r="GE1" s="262"/>
      <c r="GF1" s="262"/>
      <c r="GG1" s="262"/>
      <c r="GH1" s="262"/>
      <c r="GI1" s="262"/>
      <c r="GJ1" s="262"/>
      <c r="GK1" s="262"/>
      <c r="GL1" s="262"/>
      <c r="GM1" s="262"/>
      <c r="GN1" s="262"/>
      <c r="GO1" s="262"/>
      <c r="GP1" s="262"/>
      <c r="GQ1" s="262"/>
      <c r="GR1" s="262"/>
      <c r="GS1" s="262"/>
      <c r="GT1" s="262"/>
      <c r="GU1" s="262"/>
      <c r="GV1" s="262"/>
      <c r="GW1" s="262"/>
      <c r="GX1" s="262"/>
      <c r="GY1" s="262"/>
      <c r="GZ1" s="262"/>
      <c r="HA1" s="262"/>
      <c r="HB1" s="262"/>
      <c r="HC1" s="262"/>
      <c r="HD1" s="262"/>
      <c r="HE1" s="262"/>
      <c r="HF1" s="262"/>
      <c r="HG1" s="262"/>
      <c r="HH1" s="262"/>
      <c r="HI1" s="262"/>
      <c r="HJ1" s="262"/>
      <c r="HK1" s="262"/>
      <c r="HL1" s="262"/>
      <c r="HM1" s="262"/>
      <c r="HN1" s="262"/>
      <c r="HO1" s="262"/>
      <c r="HP1" s="262"/>
      <c r="HQ1" s="262"/>
      <c r="HR1" s="262"/>
      <c r="HS1" s="262"/>
      <c r="HT1" s="262"/>
      <c r="HU1" s="262"/>
      <c r="HV1" s="262"/>
      <c r="HW1" s="262"/>
      <c r="HX1" s="262"/>
      <c r="HY1" s="262"/>
      <c r="HZ1" s="262"/>
      <c r="IA1" s="262"/>
      <c r="IB1" s="262"/>
      <c r="IC1" s="262"/>
      <c r="ID1" s="262"/>
      <c r="IE1" s="262"/>
      <c r="IF1" s="262"/>
      <c r="IG1" s="262"/>
      <c r="IH1" s="262"/>
      <c r="II1" s="262"/>
      <c r="IJ1" s="262"/>
      <c r="IK1" s="262"/>
      <c r="IL1" s="262"/>
      <c r="IM1" s="262"/>
      <c r="IN1" s="262"/>
      <c r="IO1" s="262"/>
      <c r="IP1" s="262"/>
      <c r="IQ1" s="262"/>
      <c r="IR1" s="262"/>
      <c r="IS1" s="262"/>
      <c r="IT1" s="262"/>
      <c r="IU1" s="277"/>
    </row>
    <row r="2" spans="1:255" ht="29" customHeight="1" x14ac:dyDescent="0.15">
      <c r="A2" s="6"/>
      <c r="B2" s="301"/>
      <c r="C2" s="30" t="s">
        <v>9</v>
      </c>
      <c r="D2" s="31" t="s">
        <v>10</v>
      </c>
      <c r="E2" s="1487" t="s">
        <v>11</v>
      </c>
      <c r="F2" s="908" t="s">
        <v>23</v>
      </c>
      <c r="G2" s="34" t="s">
        <v>13</v>
      </c>
      <c r="H2" s="909" t="s">
        <v>14</v>
      </c>
      <c r="I2" s="815" t="s">
        <v>15</v>
      </c>
      <c r="J2" s="988" t="s">
        <v>16</v>
      </c>
      <c r="K2" s="38" t="s">
        <v>17</v>
      </c>
      <c r="L2" s="39" t="s">
        <v>18</v>
      </c>
      <c r="M2" s="989"/>
      <c r="N2" s="301"/>
      <c r="O2" s="281"/>
      <c r="P2" s="281"/>
      <c r="Q2" s="281"/>
      <c r="R2" s="281"/>
      <c r="S2" s="281"/>
      <c r="T2" s="281"/>
      <c r="U2" s="1616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1"/>
      <c r="AR2" s="281"/>
      <c r="AS2" s="281"/>
      <c r="AT2" s="281"/>
      <c r="AU2" s="281"/>
      <c r="AV2" s="281"/>
      <c r="AW2" s="281"/>
      <c r="AX2" s="281"/>
      <c r="AY2" s="281"/>
      <c r="AZ2" s="281"/>
      <c r="BA2" s="281"/>
      <c r="BB2" s="281"/>
      <c r="BC2" s="281"/>
      <c r="BD2" s="281"/>
      <c r="BE2" s="281"/>
      <c r="BF2" s="281"/>
      <c r="BG2" s="281"/>
      <c r="BH2" s="281"/>
      <c r="BI2" s="281"/>
      <c r="BJ2" s="281"/>
      <c r="BK2" s="281"/>
      <c r="BL2" s="281"/>
      <c r="BM2" s="281"/>
      <c r="BN2" s="281"/>
      <c r="BO2" s="281"/>
      <c r="BP2" s="281"/>
      <c r="BQ2" s="281"/>
      <c r="BR2" s="281"/>
      <c r="BS2" s="281"/>
      <c r="BT2" s="281"/>
      <c r="BU2" s="281"/>
      <c r="BV2" s="281"/>
      <c r="BW2" s="281"/>
      <c r="BX2" s="281"/>
      <c r="BY2" s="281"/>
      <c r="BZ2" s="281"/>
      <c r="CA2" s="281"/>
      <c r="CB2" s="281"/>
      <c r="CC2" s="281"/>
      <c r="CD2" s="281"/>
      <c r="CE2" s="281"/>
      <c r="CF2" s="281"/>
      <c r="CG2" s="281"/>
      <c r="CH2" s="281"/>
      <c r="CI2" s="281"/>
      <c r="CJ2" s="281"/>
      <c r="CK2" s="281"/>
      <c r="CL2" s="281"/>
      <c r="CM2" s="281"/>
      <c r="CN2" s="281"/>
      <c r="CO2" s="281"/>
      <c r="CP2" s="281"/>
      <c r="CQ2" s="281"/>
      <c r="CR2" s="281"/>
      <c r="CS2" s="281"/>
      <c r="CT2" s="281"/>
      <c r="CU2" s="281"/>
      <c r="CV2" s="281"/>
      <c r="CW2" s="281"/>
      <c r="CX2" s="281"/>
      <c r="CY2" s="281"/>
      <c r="CZ2" s="281"/>
      <c r="DA2" s="281"/>
      <c r="DB2" s="281"/>
      <c r="DC2" s="281"/>
      <c r="DD2" s="281"/>
      <c r="DE2" s="281"/>
      <c r="DF2" s="281"/>
      <c r="DG2" s="281"/>
      <c r="DH2" s="281"/>
      <c r="DI2" s="281"/>
      <c r="DJ2" s="281"/>
      <c r="DK2" s="281"/>
      <c r="DL2" s="281"/>
      <c r="DM2" s="281"/>
      <c r="DN2" s="281"/>
      <c r="DO2" s="281"/>
      <c r="DP2" s="281"/>
      <c r="DQ2" s="281"/>
      <c r="DR2" s="281"/>
      <c r="DS2" s="281"/>
      <c r="DT2" s="281"/>
      <c r="DU2" s="281"/>
      <c r="DV2" s="281"/>
      <c r="DW2" s="281"/>
      <c r="DX2" s="281"/>
      <c r="DY2" s="281"/>
      <c r="DZ2" s="281"/>
      <c r="EA2" s="281"/>
      <c r="EB2" s="281"/>
      <c r="EC2" s="281"/>
      <c r="ED2" s="281"/>
      <c r="EE2" s="281"/>
      <c r="EF2" s="281"/>
      <c r="EG2" s="281"/>
      <c r="EH2" s="281"/>
      <c r="EI2" s="281"/>
      <c r="EJ2" s="281"/>
      <c r="EK2" s="281"/>
      <c r="EL2" s="281"/>
      <c r="EM2" s="281"/>
      <c r="EN2" s="281"/>
      <c r="EO2" s="281"/>
      <c r="EP2" s="281"/>
      <c r="EQ2" s="281"/>
      <c r="ER2" s="281"/>
      <c r="ES2" s="281"/>
      <c r="ET2" s="281"/>
      <c r="EU2" s="281"/>
      <c r="EV2" s="281"/>
      <c r="EW2" s="281"/>
      <c r="EX2" s="281"/>
      <c r="EY2" s="281"/>
      <c r="EZ2" s="281"/>
      <c r="FA2" s="281"/>
      <c r="FB2" s="281"/>
      <c r="FC2" s="281"/>
      <c r="FD2" s="281"/>
      <c r="FE2" s="281"/>
      <c r="FF2" s="281"/>
      <c r="FG2" s="281"/>
      <c r="FH2" s="281"/>
      <c r="FI2" s="281"/>
      <c r="FJ2" s="281"/>
      <c r="FK2" s="281"/>
      <c r="FL2" s="281"/>
      <c r="FM2" s="281"/>
      <c r="FN2" s="281"/>
      <c r="FO2" s="281"/>
      <c r="FP2" s="281"/>
      <c r="FQ2" s="281"/>
      <c r="FR2" s="281"/>
      <c r="FS2" s="281"/>
      <c r="FT2" s="281"/>
      <c r="FU2" s="281"/>
      <c r="FV2" s="281"/>
      <c r="FW2" s="281"/>
      <c r="FX2" s="281"/>
      <c r="FY2" s="281"/>
      <c r="FZ2" s="281"/>
      <c r="GA2" s="281"/>
      <c r="GB2" s="281"/>
      <c r="GC2" s="281"/>
      <c r="GD2" s="281"/>
      <c r="GE2" s="281"/>
      <c r="GF2" s="281"/>
      <c r="GG2" s="281"/>
      <c r="GH2" s="281"/>
      <c r="GI2" s="281"/>
      <c r="GJ2" s="281"/>
      <c r="GK2" s="281"/>
      <c r="GL2" s="281"/>
      <c r="GM2" s="281"/>
      <c r="GN2" s="281"/>
      <c r="GO2" s="281"/>
      <c r="GP2" s="281"/>
      <c r="GQ2" s="281"/>
      <c r="GR2" s="281"/>
      <c r="GS2" s="281"/>
      <c r="GT2" s="281"/>
      <c r="GU2" s="281"/>
      <c r="GV2" s="281"/>
      <c r="GW2" s="281"/>
      <c r="GX2" s="281"/>
      <c r="GY2" s="281"/>
      <c r="GZ2" s="281"/>
      <c r="HA2" s="281"/>
      <c r="HB2" s="281"/>
      <c r="HC2" s="281"/>
      <c r="HD2" s="281"/>
      <c r="HE2" s="281"/>
      <c r="HF2" s="281"/>
      <c r="HG2" s="281"/>
      <c r="HH2" s="281"/>
      <c r="HI2" s="281"/>
      <c r="HJ2" s="281"/>
      <c r="HK2" s="281"/>
      <c r="HL2" s="281"/>
      <c r="HM2" s="281"/>
      <c r="HN2" s="281"/>
      <c r="HO2" s="281"/>
      <c r="HP2" s="281"/>
      <c r="HQ2" s="281"/>
      <c r="HR2" s="281"/>
      <c r="HS2" s="281"/>
      <c r="HT2" s="281"/>
      <c r="HU2" s="281"/>
      <c r="HV2" s="281"/>
      <c r="HW2" s="281"/>
      <c r="HX2" s="281"/>
      <c r="HY2" s="281"/>
      <c r="HZ2" s="281"/>
      <c r="IA2" s="281"/>
      <c r="IB2" s="281"/>
      <c r="IC2" s="281"/>
      <c r="ID2" s="281"/>
      <c r="IE2" s="281"/>
      <c r="IF2" s="281"/>
      <c r="IG2" s="281"/>
      <c r="IH2" s="281"/>
      <c r="II2" s="281"/>
      <c r="IJ2" s="281"/>
      <c r="IK2" s="281"/>
      <c r="IL2" s="281"/>
      <c r="IM2" s="281"/>
      <c r="IN2" s="281"/>
      <c r="IO2" s="281"/>
      <c r="IP2" s="281"/>
      <c r="IQ2" s="281"/>
      <c r="IR2" s="281"/>
      <c r="IS2" s="281"/>
      <c r="IT2" s="281"/>
      <c r="IU2" s="282"/>
    </row>
    <row r="3" spans="1:255" ht="18" hidden="1" customHeight="1" x14ac:dyDescent="0.15">
      <c r="A3" s="6"/>
      <c r="B3" s="817" t="s">
        <v>212</v>
      </c>
      <c r="C3" s="845">
        <v>0.01</v>
      </c>
      <c r="D3" s="447">
        <v>0.06</v>
      </c>
      <c r="E3" s="1491">
        <v>0.82</v>
      </c>
      <c r="F3" s="910">
        <v>330000</v>
      </c>
      <c r="G3" s="737">
        <v>0.11</v>
      </c>
      <c r="H3" s="516">
        <v>317.89</v>
      </c>
      <c r="I3" s="497">
        <v>95.17</v>
      </c>
      <c r="J3" s="529">
        <v>14.56</v>
      </c>
      <c r="K3" s="848">
        <v>17.239999999999998</v>
      </c>
      <c r="L3" s="826">
        <v>2.5999999999999999E-3</v>
      </c>
      <c r="M3" s="827" t="s">
        <v>212</v>
      </c>
      <c r="N3" s="301"/>
      <c r="O3" s="281"/>
      <c r="P3" s="281"/>
      <c r="Q3" s="281"/>
      <c r="R3" s="281"/>
      <c r="S3" s="281"/>
      <c r="T3" s="281"/>
      <c r="U3" s="1666"/>
      <c r="V3" s="281"/>
      <c r="W3" s="281"/>
      <c r="X3" s="281"/>
      <c r="Y3" s="281"/>
      <c r="Z3" s="281"/>
      <c r="AA3" s="281"/>
      <c r="AB3" s="281"/>
      <c r="AC3" s="281"/>
      <c r="AD3" s="281"/>
      <c r="AE3" s="281"/>
      <c r="AF3" s="281"/>
      <c r="AG3" s="281"/>
      <c r="AH3" s="281"/>
      <c r="AI3" s="281"/>
      <c r="AJ3" s="281"/>
      <c r="AK3" s="281"/>
      <c r="AL3" s="281"/>
      <c r="AM3" s="281"/>
      <c r="AN3" s="281"/>
      <c r="AO3" s="281"/>
      <c r="AP3" s="281"/>
      <c r="AQ3" s="281"/>
      <c r="AR3" s="281"/>
      <c r="AS3" s="281"/>
      <c r="AT3" s="281"/>
      <c r="AU3" s="281"/>
      <c r="AV3" s="281"/>
      <c r="AW3" s="281"/>
      <c r="AX3" s="281"/>
      <c r="AY3" s="281"/>
      <c r="AZ3" s="281"/>
      <c r="BA3" s="281"/>
      <c r="BB3" s="281"/>
      <c r="BC3" s="281"/>
      <c r="BD3" s="281"/>
      <c r="BE3" s="281"/>
      <c r="BF3" s="281"/>
      <c r="BG3" s="281"/>
      <c r="BH3" s="281"/>
      <c r="BI3" s="281"/>
      <c r="BJ3" s="281"/>
      <c r="BK3" s="281"/>
      <c r="BL3" s="281"/>
      <c r="BM3" s="281"/>
      <c r="BN3" s="281"/>
      <c r="BO3" s="281"/>
      <c r="BP3" s="281"/>
      <c r="BQ3" s="281"/>
      <c r="BR3" s="281"/>
      <c r="BS3" s="281"/>
      <c r="BT3" s="281"/>
      <c r="BU3" s="281"/>
      <c r="BV3" s="281"/>
      <c r="BW3" s="281"/>
      <c r="BX3" s="281"/>
      <c r="BY3" s="281"/>
      <c r="BZ3" s="281"/>
      <c r="CA3" s="281"/>
      <c r="CB3" s="281"/>
      <c r="CC3" s="281"/>
      <c r="CD3" s="281"/>
      <c r="CE3" s="281"/>
      <c r="CF3" s="281"/>
      <c r="CG3" s="281"/>
      <c r="CH3" s="281"/>
      <c r="CI3" s="281"/>
      <c r="CJ3" s="281"/>
      <c r="CK3" s="281"/>
      <c r="CL3" s="281"/>
      <c r="CM3" s="281"/>
      <c r="CN3" s="281"/>
      <c r="CO3" s="281"/>
      <c r="CP3" s="281"/>
      <c r="CQ3" s="281"/>
      <c r="CR3" s="281"/>
      <c r="CS3" s="281"/>
      <c r="CT3" s="281"/>
      <c r="CU3" s="281"/>
      <c r="CV3" s="281"/>
      <c r="CW3" s="281"/>
      <c r="CX3" s="281"/>
      <c r="CY3" s="281"/>
      <c r="CZ3" s="281"/>
      <c r="DA3" s="281"/>
      <c r="DB3" s="281"/>
      <c r="DC3" s="281"/>
      <c r="DD3" s="281"/>
      <c r="DE3" s="281"/>
      <c r="DF3" s="281"/>
      <c r="DG3" s="281"/>
      <c r="DH3" s="281"/>
      <c r="DI3" s="281"/>
      <c r="DJ3" s="281"/>
      <c r="DK3" s="281"/>
      <c r="DL3" s="281"/>
      <c r="DM3" s="281"/>
      <c r="DN3" s="281"/>
      <c r="DO3" s="281"/>
      <c r="DP3" s="281"/>
      <c r="DQ3" s="281"/>
      <c r="DR3" s="281"/>
      <c r="DS3" s="281"/>
      <c r="DT3" s="281"/>
      <c r="DU3" s="281"/>
      <c r="DV3" s="281"/>
      <c r="DW3" s="281"/>
      <c r="DX3" s="281"/>
      <c r="DY3" s="281"/>
      <c r="DZ3" s="281"/>
      <c r="EA3" s="281"/>
      <c r="EB3" s="281"/>
      <c r="EC3" s="281"/>
      <c r="ED3" s="281"/>
      <c r="EE3" s="281"/>
      <c r="EF3" s="281"/>
      <c r="EG3" s="281"/>
      <c r="EH3" s="281"/>
      <c r="EI3" s="281"/>
      <c r="EJ3" s="281"/>
      <c r="EK3" s="281"/>
      <c r="EL3" s="281"/>
      <c r="EM3" s="281"/>
      <c r="EN3" s="281"/>
      <c r="EO3" s="281"/>
      <c r="EP3" s="281"/>
      <c r="EQ3" s="281"/>
      <c r="ER3" s="281"/>
      <c r="ES3" s="281"/>
      <c r="ET3" s="281"/>
      <c r="EU3" s="281"/>
      <c r="EV3" s="281"/>
      <c r="EW3" s="281"/>
      <c r="EX3" s="281"/>
      <c r="EY3" s="281"/>
      <c r="EZ3" s="281"/>
      <c r="FA3" s="281"/>
      <c r="FB3" s="281"/>
      <c r="FC3" s="281"/>
      <c r="FD3" s="281"/>
      <c r="FE3" s="281"/>
      <c r="FF3" s="281"/>
      <c r="FG3" s="281"/>
      <c r="FH3" s="281"/>
      <c r="FI3" s="281"/>
      <c r="FJ3" s="281"/>
      <c r="FK3" s="281"/>
      <c r="FL3" s="281"/>
      <c r="FM3" s="281"/>
      <c r="FN3" s="281"/>
      <c r="FO3" s="281"/>
      <c r="FP3" s="281"/>
      <c r="FQ3" s="281"/>
      <c r="FR3" s="281"/>
      <c r="FS3" s="281"/>
      <c r="FT3" s="281"/>
      <c r="FU3" s="281"/>
      <c r="FV3" s="281"/>
      <c r="FW3" s="281"/>
      <c r="FX3" s="281"/>
      <c r="FY3" s="281"/>
      <c r="FZ3" s="281"/>
      <c r="GA3" s="281"/>
      <c r="GB3" s="281"/>
      <c r="GC3" s="281"/>
      <c r="GD3" s="281"/>
      <c r="GE3" s="281"/>
      <c r="GF3" s="281"/>
      <c r="GG3" s="281"/>
      <c r="GH3" s="281"/>
      <c r="GI3" s="281"/>
      <c r="GJ3" s="281"/>
      <c r="GK3" s="281"/>
      <c r="GL3" s="281"/>
      <c r="GM3" s="281"/>
      <c r="GN3" s="281"/>
      <c r="GO3" s="281"/>
      <c r="GP3" s="281"/>
      <c r="GQ3" s="281"/>
      <c r="GR3" s="281"/>
      <c r="GS3" s="281"/>
      <c r="GT3" s="281"/>
      <c r="GU3" s="281"/>
      <c r="GV3" s="281"/>
      <c r="GW3" s="281"/>
      <c r="GX3" s="281"/>
      <c r="GY3" s="281"/>
      <c r="GZ3" s="281"/>
      <c r="HA3" s="281"/>
      <c r="HB3" s="281"/>
      <c r="HC3" s="281"/>
      <c r="HD3" s="281"/>
      <c r="HE3" s="281"/>
      <c r="HF3" s="281"/>
      <c r="HG3" s="281"/>
      <c r="HH3" s="281"/>
      <c r="HI3" s="281"/>
      <c r="HJ3" s="281"/>
      <c r="HK3" s="281"/>
      <c r="HL3" s="281"/>
      <c r="HM3" s="281"/>
      <c r="HN3" s="281"/>
      <c r="HO3" s="281"/>
      <c r="HP3" s="281"/>
      <c r="HQ3" s="281"/>
      <c r="HR3" s="281"/>
      <c r="HS3" s="281"/>
      <c r="HT3" s="281"/>
      <c r="HU3" s="281"/>
      <c r="HV3" s="281"/>
      <c r="HW3" s="281"/>
      <c r="HX3" s="281"/>
      <c r="HY3" s="281"/>
      <c r="HZ3" s="281"/>
      <c r="IA3" s="281"/>
      <c r="IB3" s="281"/>
      <c r="IC3" s="281"/>
      <c r="ID3" s="281"/>
      <c r="IE3" s="281"/>
      <c r="IF3" s="281"/>
      <c r="IG3" s="281"/>
      <c r="IH3" s="281"/>
      <c r="II3" s="281"/>
      <c r="IJ3" s="281"/>
      <c r="IK3" s="281"/>
      <c r="IL3" s="281"/>
      <c r="IM3" s="281"/>
      <c r="IN3" s="281"/>
      <c r="IO3" s="281"/>
      <c r="IP3" s="281"/>
      <c r="IQ3" s="281"/>
      <c r="IR3" s="281"/>
      <c r="IS3" s="281"/>
      <c r="IT3" s="281"/>
      <c r="IU3" s="282"/>
    </row>
    <row r="4" spans="1:255" ht="18" hidden="1" customHeight="1" x14ac:dyDescent="0.15">
      <c r="A4" s="6"/>
      <c r="B4" s="817" t="s">
        <v>214</v>
      </c>
      <c r="C4" s="818">
        <f>Données!C30</f>
        <v>110.79536905619</v>
      </c>
      <c r="D4" s="819">
        <f>Données!C31</f>
        <v>222.10353243961501</v>
      </c>
      <c r="E4" s="1488">
        <f>Données!C32</f>
        <v>204.076125593265</v>
      </c>
      <c r="F4" s="433">
        <f>Données!C33</f>
        <v>220.534452340824</v>
      </c>
      <c r="G4" s="822">
        <f>Données!C34</f>
        <v>234.90423052098501</v>
      </c>
      <c r="H4" s="364">
        <f>Données!C35</f>
        <v>207.29431510394099</v>
      </c>
      <c r="I4" s="308">
        <f>Données!C36</f>
        <v>326.52375230942198</v>
      </c>
      <c r="J4" s="417">
        <f>Données!C37</f>
        <v>290.49694236174702</v>
      </c>
      <c r="K4" s="825">
        <f>Données!C38</f>
        <v>290.19916323695298</v>
      </c>
      <c r="L4" s="826">
        <f>Données!C39</f>
        <v>235.888843060071</v>
      </c>
      <c r="M4" s="827" t="s">
        <v>214</v>
      </c>
      <c r="N4" s="301"/>
      <c r="O4" s="281"/>
      <c r="P4" s="281"/>
      <c r="Q4" s="281"/>
      <c r="R4" s="281"/>
      <c r="S4" s="281"/>
      <c r="T4" s="281"/>
      <c r="U4" s="281"/>
      <c r="V4" s="281"/>
      <c r="W4" s="281"/>
      <c r="X4" s="281"/>
      <c r="Y4" s="281"/>
      <c r="Z4" s="281"/>
      <c r="AA4" s="281"/>
      <c r="AB4" s="281"/>
      <c r="AC4" s="281"/>
      <c r="AD4" s="281"/>
      <c r="AE4" s="281"/>
      <c r="AF4" s="281"/>
      <c r="AG4" s="281"/>
      <c r="AH4" s="281"/>
      <c r="AI4" s="281"/>
      <c r="AJ4" s="281"/>
      <c r="AK4" s="281"/>
      <c r="AL4" s="281"/>
      <c r="AM4" s="281"/>
      <c r="AN4" s="281"/>
      <c r="AO4" s="281"/>
      <c r="AP4" s="281"/>
      <c r="AQ4" s="281"/>
      <c r="AR4" s="281"/>
      <c r="AS4" s="281"/>
      <c r="AT4" s="281"/>
      <c r="AU4" s="281"/>
      <c r="AV4" s="281"/>
      <c r="AW4" s="281"/>
      <c r="AX4" s="281"/>
      <c r="AY4" s="281"/>
      <c r="AZ4" s="281"/>
      <c r="BA4" s="281"/>
      <c r="BB4" s="281"/>
      <c r="BC4" s="281"/>
      <c r="BD4" s="281"/>
      <c r="BE4" s="281"/>
      <c r="BF4" s="281"/>
      <c r="BG4" s="281"/>
      <c r="BH4" s="281"/>
      <c r="BI4" s="281"/>
      <c r="BJ4" s="281"/>
      <c r="BK4" s="281"/>
      <c r="BL4" s="281"/>
      <c r="BM4" s="281"/>
      <c r="BN4" s="281"/>
      <c r="BO4" s="281"/>
      <c r="BP4" s="281"/>
      <c r="BQ4" s="281"/>
      <c r="BR4" s="281"/>
      <c r="BS4" s="281"/>
      <c r="BT4" s="281"/>
      <c r="BU4" s="281"/>
      <c r="BV4" s="281"/>
      <c r="BW4" s="281"/>
      <c r="BX4" s="281"/>
      <c r="BY4" s="281"/>
      <c r="BZ4" s="281"/>
      <c r="CA4" s="281"/>
      <c r="CB4" s="281"/>
      <c r="CC4" s="281"/>
      <c r="CD4" s="281"/>
      <c r="CE4" s="281"/>
      <c r="CF4" s="281"/>
      <c r="CG4" s="281"/>
      <c r="CH4" s="281"/>
      <c r="CI4" s="281"/>
      <c r="CJ4" s="281"/>
      <c r="CK4" s="281"/>
      <c r="CL4" s="281"/>
      <c r="CM4" s="281"/>
      <c r="CN4" s="281"/>
      <c r="CO4" s="281"/>
      <c r="CP4" s="281"/>
      <c r="CQ4" s="281"/>
      <c r="CR4" s="281"/>
      <c r="CS4" s="281"/>
      <c r="CT4" s="281"/>
      <c r="CU4" s="281"/>
      <c r="CV4" s="281"/>
      <c r="CW4" s="281"/>
      <c r="CX4" s="281"/>
      <c r="CY4" s="281"/>
      <c r="CZ4" s="281"/>
      <c r="DA4" s="281"/>
      <c r="DB4" s="281"/>
      <c r="DC4" s="281"/>
      <c r="DD4" s="281"/>
      <c r="DE4" s="281"/>
      <c r="DF4" s="281"/>
      <c r="DG4" s="281"/>
      <c r="DH4" s="281"/>
      <c r="DI4" s="281"/>
      <c r="DJ4" s="281"/>
      <c r="DK4" s="281"/>
      <c r="DL4" s="281"/>
      <c r="DM4" s="281"/>
      <c r="DN4" s="281"/>
      <c r="DO4" s="281"/>
      <c r="DP4" s="281"/>
      <c r="DQ4" s="281"/>
      <c r="DR4" s="281"/>
      <c r="DS4" s="281"/>
      <c r="DT4" s="281"/>
      <c r="DU4" s="281"/>
      <c r="DV4" s="281"/>
      <c r="DW4" s="281"/>
      <c r="DX4" s="281"/>
      <c r="DY4" s="281"/>
      <c r="DZ4" s="281"/>
      <c r="EA4" s="281"/>
      <c r="EB4" s="281"/>
      <c r="EC4" s="281"/>
      <c r="ED4" s="281"/>
      <c r="EE4" s="281"/>
      <c r="EF4" s="281"/>
      <c r="EG4" s="281"/>
      <c r="EH4" s="281"/>
      <c r="EI4" s="281"/>
      <c r="EJ4" s="281"/>
      <c r="EK4" s="281"/>
      <c r="EL4" s="281"/>
      <c r="EM4" s="281"/>
      <c r="EN4" s="281"/>
      <c r="EO4" s="281"/>
      <c r="EP4" s="281"/>
      <c r="EQ4" s="281"/>
      <c r="ER4" s="281"/>
      <c r="ES4" s="281"/>
      <c r="ET4" s="281"/>
      <c r="EU4" s="281"/>
      <c r="EV4" s="281"/>
      <c r="EW4" s="281"/>
      <c r="EX4" s="281"/>
      <c r="EY4" s="281"/>
      <c r="EZ4" s="281"/>
      <c r="FA4" s="281"/>
      <c r="FB4" s="281"/>
      <c r="FC4" s="281"/>
      <c r="FD4" s="281"/>
      <c r="FE4" s="281"/>
      <c r="FF4" s="281"/>
      <c r="FG4" s="281"/>
      <c r="FH4" s="281"/>
      <c r="FI4" s="281"/>
      <c r="FJ4" s="281"/>
      <c r="FK4" s="281"/>
      <c r="FL4" s="281"/>
      <c r="FM4" s="281"/>
      <c r="FN4" s="281"/>
      <c r="FO4" s="281"/>
      <c r="FP4" s="281"/>
      <c r="FQ4" s="281"/>
      <c r="FR4" s="281"/>
      <c r="FS4" s="281"/>
      <c r="FT4" s="281"/>
      <c r="FU4" s="281"/>
      <c r="FV4" s="281"/>
      <c r="FW4" s="281"/>
      <c r="FX4" s="281"/>
      <c r="FY4" s="281"/>
      <c r="FZ4" s="281"/>
      <c r="GA4" s="281"/>
      <c r="GB4" s="281"/>
      <c r="GC4" s="281"/>
      <c r="GD4" s="281"/>
      <c r="GE4" s="281"/>
      <c r="GF4" s="281"/>
      <c r="GG4" s="281"/>
      <c r="GH4" s="281"/>
      <c r="GI4" s="281"/>
      <c r="GJ4" s="281"/>
      <c r="GK4" s="281"/>
      <c r="GL4" s="281"/>
      <c r="GM4" s="281"/>
      <c r="GN4" s="281"/>
      <c r="GO4" s="281"/>
      <c r="GP4" s="281"/>
      <c r="GQ4" s="281"/>
      <c r="GR4" s="281"/>
      <c r="GS4" s="281"/>
      <c r="GT4" s="281"/>
      <c r="GU4" s="281"/>
      <c r="GV4" s="281"/>
      <c r="GW4" s="281"/>
      <c r="GX4" s="281"/>
      <c r="GY4" s="281"/>
      <c r="GZ4" s="281"/>
      <c r="HA4" s="281"/>
      <c r="HB4" s="281"/>
      <c r="HC4" s="281"/>
      <c r="HD4" s="281"/>
      <c r="HE4" s="281"/>
      <c r="HF4" s="281"/>
      <c r="HG4" s="281"/>
      <c r="HH4" s="281"/>
      <c r="HI4" s="281"/>
      <c r="HJ4" s="281"/>
      <c r="HK4" s="281"/>
      <c r="HL4" s="281"/>
      <c r="HM4" s="281"/>
      <c r="HN4" s="281"/>
      <c r="HO4" s="281"/>
      <c r="HP4" s="281"/>
      <c r="HQ4" s="281"/>
      <c r="HR4" s="281"/>
      <c r="HS4" s="281"/>
      <c r="HT4" s="281"/>
      <c r="HU4" s="281"/>
      <c r="HV4" s="281"/>
      <c r="HW4" s="281"/>
      <c r="HX4" s="281"/>
      <c r="HY4" s="281"/>
      <c r="HZ4" s="281"/>
      <c r="IA4" s="281"/>
      <c r="IB4" s="281"/>
      <c r="IC4" s="281"/>
      <c r="ID4" s="281"/>
      <c r="IE4" s="281"/>
      <c r="IF4" s="281"/>
      <c r="IG4" s="281"/>
      <c r="IH4" s="281"/>
      <c r="II4" s="281"/>
      <c r="IJ4" s="281"/>
      <c r="IK4" s="281"/>
      <c r="IL4" s="281"/>
      <c r="IM4" s="281"/>
      <c r="IN4" s="281"/>
      <c r="IO4" s="281"/>
      <c r="IP4" s="281"/>
      <c r="IQ4" s="281"/>
      <c r="IR4" s="281"/>
      <c r="IS4" s="281"/>
      <c r="IT4" s="281"/>
      <c r="IU4" s="282"/>
    </row>
    <row r="5" spans="1:255" ht="18" customHeight="1" x14ac:dyDescent="0.15">
      <c r="A5" s="6"/>
      <c r="B5" s="990" t="s">
        <v>2</v>
      </c>
      <c r="C5" s="991">
        <f>Données!D30</f>
        <v>124.15394086050701</v>
      </c>
      <c r="D5" s="941">
        <f>Données!D31</f>
        <v>220.90169783992599</v>
      </c>
      <c r="E5" s="1658">
        <f>Données!D32</f>
        <v>205.249991707406</v>
      </c>
      <c r="F5" s="943">
        <f>Données!D33</f>
        <v>221.529107747659</v>
      </c>
      <c r="G5" s="944">
        <f>Données!D34</f>
        <v>235.64110770157399</v>
      </c>
      <c r="H5" s="945">
        <f>Données!D35</f>
        <v>207.49798797942</v>
      </c>
      <c r="I5" s="946">
        <f>Données!D36</f>
        <v>326.53805185857601</v>
      </c>
      <c r="J5" s="947">
        <f>Données!D37</f>
        <v>290.53160275671002</v>
      </c>
      <c r="K5" s="948">
        <f>Données!D38</f>
        <v>290.22043810257202</v>
      </c>
      <c r="L5" s="949">
        <f>Données!D39</f>
        <v>235.92578460033701</v>
      </c>
      <c r="M5" s="992" t="s">
        <v>2</v>
      </c>
      <c r="N5" s="30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/>
      <c r="BA5" s="281"/>
      <c r="BB5" s="281"/>
      <c r="BC5" s="281"/>
      <c r="BD5" s="281"/>
      <c r="BE5" s="281"/>
      <c r="BF5" s="281"/>
      <c r="BG5" s="281"/>
      <c r="BH5" s="281"/>
      <c r="BI5" s="281"/>
      <c r="BJ5" s="281"/>
      <c r="BK5" s="281"/>
      <c r="BL5" s="281"/>
      <c r="BM5" s="281"/>
      <c r="BN5" s="281"/>
      <c r="BO5" s="281"/>
      <c r="BP5" s="281"/>
      <c r="BQ5" s="281"/>
      <c r="BR5" s="281"/>
      <c r="BS5" s="281"/>
      <c r="BT5" s="281"/>
      <c r="BU5" s="281"/>
      <c r="BV5" s="281"/>
      <c r="BW5" s="281"/>
      <c r="BX5" s="281"/>
      <c r="BY5" s="281"/>
      <c r="BZ5" s="281"/>
      <c r="CA5" s="281"/>
      <c r="CB5" s="281"/>
      <c r="CC5" s="281"/>
      <c r="CD5" s="281"/>
      <c r="CE5" s="281"/>
      <c r="CF5" s="281"/>
      <c r="CG5" s="281"/>
      <c r="CH5" s="281"/>
      <c r="CI5" s="281"/>
      <c r="CJ5" s="281"/>
      <c r="CK5" s="281"/>
      <c r="CL5" s="281"/>
      <c r="CM5" s="281"/>
      <c r="CN5" s="281"/>
      <c r="CO5" s="281"/>
      <c r="CP5" s="281"/>
      <c r="CQ5" s="281"/>
      <c r="CR5" s="281"/>
      <c r="CS5" s="281"/>
      <c r="CT5" s="281"/>
      <c r="CU5" s="281"/>
      <c r="CV5" s="281"/>
      <c r="CW5" s="281"/>
      <c r="CX5" s="281"/>
      <c r="CY5" s="281"/>
      <c r="CZ5" s="281"/>
      <c r="DA5" s="281"/>
      <c r="DB5" s="281"/>
      <c r="DC5" s="281"/>
      <c r="DD5" s="281"/>
      <c r="DE5" s="281"/>
      <c r="DF5" s="281"/>
      <c r="DG5" s="281"/>
      <c r="DH5" s="281"/>
      <c r="DI5" s="281"/>
      <c r="DJ5" s="281"/>
      <c r="DK5" s="281"/>
      <c r="DL5" s="281"/>
      <c r="DM5" s="281"/>
      <c r="DN5" s="281"/>
      <c r="DO5" s="281"/>
      <c r="DP5" s="281"/>
      <c r="DQ5" s="281"/>
      <c r="DR5" s="281"/>
      <c r="DS5" s="281"/>
      <c r="DT5" s="281"/>
      <c r="DU5" s="281"/>
      <c r="DV5" s="281"/>
      <c r="DW5" s="281"/>
      <c r="DX5" s="281"/>
      <c r="DY5" s="281"/>
      <c r="DZ5" s="281"/>
      <c r="EA5" s="281"/>
      <c r="EB5" s="281"/>
      <c r="EC5" s="281"/>
      <c r="ED5" s="281"/>
      <c r="EE5" s="281"/>
      <c r="EF5" s="281"/>
      <c r="EG5" s="281"/>
      <c r="EH5" s="281"/>
      <c r="EI5" s="281"/>
      <c r="EJ5" s="281"/>
      <c r="EK5" s="281"/>
      <c r="EL5" s="281"/>
      <c r="EM5" s="281"/>
      <c r="EN5" s="281"/>
      <c r="EO5" s="281"/>
      <c r="EP5" s="281"/>
      <c r="EQ5" s="281"/>
      <c r="ER5" s="281"/>
      <c r="ES5" s="281"/>
      <c r="ET5" s="281"/>
      <c r="EU5" s="281"/>
      <c r="EV5" s="281"/>
      <c r="EW5" s="281"/>
      <c r="EX5" s="281"/>
      <c r="EY5" s="281"/>
      <c r="EZ5" s="281"/>
      <c r="FA5" s="281"/>
      <c r="FB5" s="281"/>
      <c r="FC5" s="281"/>
      <c r="FD5" s="281"/>
      <c r="FE5" s="281"/>
      <c r="FF5" s="281"/>
      <c r="FG5" s="281"/>
      <c r="FH5" s="281"/>
      <c r="FI5" s="281"/>
      <c r="FJ5" s="281"/>
      <c r="FK5" s="281"/>
      <c r="FL5" s="281"/>
      <c r="FM5" s="281"/>
      <c r="FN5" s="281"/>
      <c r="FO5" s="281"/>
      <c r="FP5" s="281"/>
      <c r="FQ5" s="281"/>
      <c r="FR5" s="281"/>
      <c r="FS5" s="281"/>
      <c r="FT5" s="281"/>
      <c r="FU5" s="281"/>
      <c r="FV5" s="281"/>
      <c r="FW5" s="281"/>
      <c r="FX5" s="281"/>
      <c r="FY5" s="281"/>
      <c r="FZ5" s="281"/>
      <c r="GA5" s="281"/>
      <c r="GB5" s="281"/>
      <c r="GC5" s="281"/>
      <c r="GD5" s="281"/>
      <c r="GE5" s="281"/>
      <c r="GF5" s="281"/>
      <c r="GG5" s="281"/>
      <c r="GH5" s="281"/>
      <c r="GI5" s="281"/>
      <c r="GJ5" s="281"/>
      <c r="GK5" s="281"/>
      <c r="GL5" s="281"/>
      <c r="GM5" s="281"/>
      <c r="GN5" s="281"/>
      <c r="GO5" s="281"/>
      <c r="GP5" s="281"/>
      <c r="GQ5" s="281"/>
      <c r="GR5" s="281"/>
      <c r="GS5" s="281"/>
      <c r="GT5" s="281"/>
      <c r="GU5" s="281"/>
      <c r="GV5" s="281"/>
      <c r="GW5" s="281"/>
      <c r="GX5" s="281"/>
      <c r="GY5" s="281"/>
      <c r="GZ5" s="281"/>
      <c r="HA5" s="281"/>
      <c r="HB5" s="281"/>
      <c r="HC5" s="281"/>
      <c r="HD5" s="281"/>
      <c r="HE5" s="281"/>
      <c r="HF5" s="281"/>
      <c r="HG5" s="281"/>
      <c r="HH5" s="281"/>
      <c r="HI5" s="281"/>
      <c r="HJ5" s="281"/>
      <c r="HK5" s="281"/>
      <c r="HL5" s="281"/>
      <c r="HM5" s="281"/>
      <c r="HN5" s="281"/>
      <c r="HO5" s="281"/>
      <c r="HP5" s="281"/>
      <c r="HQ5" s="281"/>
      <c r="HR5" s="281"/>
      <c r="HS5" s="281"/>
      <c r="HT5" s="281"/>
      <c r="HU5" s="281"/>
      <c r="HV5" s="281"/>
      <c r="HW5" s="281"/>
      <c r="HX5" s="281"/>
      <c r="HY5" s="281"/>
      <c r="HZ5" s="281"/>
      <c r="IA5" s="281"/>
      <c r="IB5" s="281"/>
      <c r="IC5" s="281"/>
      <c r="ID5" s="281"/>
      <c r="IE5" s="281"/>
      <c r="IF5" s="281"/>
      <c r="IG5" s="281"/>
      <c r="IH5" s="281"/>
      <c r="II5" s="281"/>
      <c r="IJ5" s="281"/>
      <c r="IK5" s="281"/>
      <c r="IL5" s="281"/>
      <c r="IM5" s="281"/>
      <c r="IN5" s="281"/>
      <c r="IO5" s="281"/>
      <c r="IP5" s="281"/>
      <c r="IQ5" s="281"/>
      <c r="IR5" s="281"/>
      <c r="IS5" s="281"/>
      <c r="IT5" s="281"/>
      <c r="IU5" s="282"/>
    </row>
    <row r="6" spans="1:255" ht="18" customHeight="1" x14ac:dyDescent="0.15">
      <c r="A6" s="6"/>
      <c r="B6" s="990" t="s">
        <v>277</v>
      </c>
      <c r="C6" s="993">
        <f t="shared" ref="C6:G6" si="0">C5-C4</f>
        <v>13.358571804317009</v>
      </c>
      <c r="D6" s="2552">
        <f>D4-D5</f>
        <v>1.2018345996890218</v>
      </c>
      <c r="E6" s="1659">
        <f t="shared" si="0"/>
        <v>1.1738661141409921</v>
      </c>
      <c r="F6" s="995">
        <f t="shared" si="0"/>
        <v>0.99465540683499398</v>
      </c>
      <c r="G6" s="996">
        <f t="shared" si="0"/>
        <v>0.73687718058897644</v>
      </c>
      <c r="H6" s="1617">
        <f>H5-H4</f>
        <v>0.20367287547901469</v>
      </c>
      <c r="I6" s="1620">
        <f>I5-I4</f>
        <v>1.4299549154031865E-2</v>
      </c>
      <c r="J6" s="1701">
        <f>J5-J4</f>
        <v>3.4660394962997998E-2</v>
      </c>
      <c r="K6" s="1619">
        <f>K5-K4</f>
        <v>2.1274865619034244E-2</v>
      </c>
      <c r="L6" s="997">
        <f>L5-L4</f>
        <v>3.6941540266013817E-2</v>
      </c>
      <c r="M6" s="992" t="s">
        <v>277</v>
      </c>
      <c r="N6" s="30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  <c r="AT6" s="281"/>
      <c r="AU6" s="281"/>
      <c r="AV6" s="281"/>
      <c r="AW6" s="281"/>
      <c r="AX6" s="281"/>
      <c r="AY6" s="281"/>
      <c r="AZ6" s="281"/>
      <c r="BA6" s="281"/>
      <c r="BB6" s="281"/>
      <c r="BC6" s="281"/>
      <c r="BD6" s="281"/>
      <c r="BE6" s="281"/>
      <c r="BF6" s="281"/>
      <c r="BG6" s="281"/>
      <c r="BH6" s="281"/>
      <c r="BI6" s="281"/>
      <c r="BJ6" s="281"/>
      <c r="BK6" s="281"/>
      <c r="BL6" s="281"/>
      <c r="BM6" s="281"/>
      <c r="BN6" s="281"/>
      <c r="BO6" s="281"/>
      <c r="BP6" s="281"/>
      <c r="BQ6" s="281"/>
      <c r="BR6" s="281"/>
      <c r="BS6" s="281"/>
      <c r="BT6" s="281"/>
      <c r="BU6" s="281"/>
      <c r="BV6" s="281"/>
      <c r="BW6" s="281"/>
      <c r="BX6" s="281"/>
      <c r="BY6" s="281"/>
      <c r="BZ6" s="281"/>
      <c r="CA6" s="281"/>
      <c r="CB6" s="281"/>
      <c r="CC6" s="281"/>
      <c r="CD6" s="281"/>
      <c r="CE6" s="281"/>
      <c r="CF6" s="281"/>
      <c r="CG6" s="281"/>
      <c r="CH6" s="281"/>
      <c r="CI6" s="281"/>
      <c r="CJ6" s="281"/>
      <c r="CK6" s="281"/>
      <c r="CL6" s="281"/>
      <c r="CM6" s="281"/>
      <c r="CN6" s="281"/>
      <c r="CO6" s="281"/>
      <c r="CP6" s="281"/>
      <c r="CQ6" s="281"/>
      <c r="CR6" s="281"/>
      <c r="CS6" s="281"/>
      <c r="CT6" s="281"/>
      <c r="CU6" s="281"/>
      <c r="CV6" s="281"/>
      <c r="CW6" s="281"/>
      <c r="CX6" s="281"/>
      <c r="CY6" s="281"/>
      <c r="CZ6" s="281"/>
      <c r="DA6" s="281"/>
      <c r="DB6" s="281"/>
      <c r="DC6" s="281"/>
      <c r="DD6" s="281"/>
      <c r="DE6" s="281"/>
      <c r="DF6" s="281"/>
      <c r="DG6" s="281"/>
      <c r="DH6" s="281"/>
      <c r="DI6" s="281"/>
      <c r="DJ6" s="281"/>
      <c r="DK6" s="281"/>
      <c r="DL6" s="281"/>
      <c r="DM6" s="281"/>
      <c r="DN6" s="281"/>
      <c r="DO6" s="281"/>
      <c r="DP6" s="281"/>
      <c r="DQ6" s="281"/>
      <c r="DR6" s="281"/>
      <c r="DS6" s="281"/>
      <c r="DT6" s="281"/>
      <c r="DU6" s="281"/>
      <c r="DV6" s="281"/>
      <c r="DW6" s="281"/>
      <c r="DX6" s="281"/>
      <c r="DY6" s="281"/>
      <c r="DZ6" s="281"/>
      <c r="EA6" s="281"/>
      <c r="EB6" s="281"/>
      <c r="EC6" s="281"/>
      <c r="ED6" s="281"/>
      <c r="EE6" s="281"/>
      <c r="EF6" s="281"/>
      <c r="EG6" s="281"/>
      <c r="EH6" s="281"/>
      <c r="EI6" s="281"/>
      <c r="EJ6" s="281"/>
      <c r="EK6" s="281"/>
      <c r="EL6" s="281"/>
      <c r="EM6" s="281"/>
      <c r="EN6" s="281"/>
      <c r="EO6" s="281"/>
      <c r="EP6" s="281"/>
      <c r="EQ6" s="281"/>
      <c r="ER6" s="281"/>
      <c r="ES6" s="281"/>
      <c r="ET6" s="281"/>
      <c r="EU6" s="281"/>
      <c r="EV6" s="281"/>
      <c r="EW6" s="281"/>
      <c r="EX6" s="281"/>
      <c r="EY6" s="281"/>
      <c r="EZ6" s="281"/>
      <c r="FA6" s="281"/>
      <c r="FB6" s="281"/>
      <c r="FC6" s="281"/>
      <c r="FD6" s="281"/>
      <c r="FE6" s="281"/>
      <c r="FF6" s="281"/>
      <c r="FG6" s="281"/>
      <c r="FH6" s="281"/>
      <c r="FI6" s="281"/>
      <c r="FJ6" s="281"/>
      <c r="FK6" s="281"/>
      <c r="FL6" s="281"/>
      <c r="FM6" s="281"/>
      <c r="FN6" s="281"/>
      <c r="FO6" s="281"/>
      <c r="FP6" s="281"/>
      <c r="FQ6" s="281"/>
      <c r="FR6" s="281"/>
      <c r="FS6" s="281"/>
      <c r="FT6" s="281"/>
      <c r="FU6" s="281"/>
      <c r="FV6" s="281"/>
      <c r="FW6" s="281"/>
      <c r="FX6" s="281"/>
      <c r="FY6" s="281"/>
      <c r="FZ6" s="281"/>
      <c r="GA6" s="281"/>
      <c r="GB6" s="281"/>
      <c r="GC6" s="281"/>
      <c r="GD6" s="281"/>
      <c r="GE6" s="281"/>
      <c r="GF6" s="281"/>
      <c r="GG6" s="281"/>
      <c r="GH6" s="281"/>
      <c r="GI6" s="281"/>
      <c r="GJ6" s="281"/>
      <c r="GK6" s="281"/>
      <c r="GL6" s="281"/>
      <c r="GM6" s="281"/>
      <c r="GN6" s="281"/>
      <c r="GO6" s="281"/>
      <c r="GP6" s="281"/>
      <c r="GQ6" s="281"/>
      <c r="GR6" s="281"/>
      <c r="GS6" s="281"/>
      <c r="GT6" s="281"/>
      <c r="GU6" s="281"/>
      <c r="GV6" s="281"/>
      <c r="GW6" s="281"/>
      <c r="GX6" s="281"/>
      <c r="GY6" s="281"/>
      <c r="GZ6" s="281"/>
      <c r="HA6" s="281"/>
      <c r="HB6" s="281"/>
      <c r="HC6" s="281"/>
      <c r="HD6" s="281"/>
      <c r="HE6" s="281"/>
      <c r="HF6" s="281"/>
      <c r="HG6" s="281"/>
      <c r="HH6" s="281"/>
      <c r="HI6" s="281"/>
      <c r="HJ6" s="281"/>
      <c r="HK6" s="281"/>
      <c r="HL6" s="281"/>
      <c r="HM6" s="281"/>
      <c r="HN6" s="281"/>
      <c r="HO6" s="281"/>
      <c r="HP6" s="281"/>
      <c r="HQ6" s="281"/>
      <c r="HR6" s="281"/>
      <c r="HS6" s="281"/>
      <c r="HT6" s="281"/>
      <c r="HU6" s="281"/>
      <c r="HV6" s="281"/>
      <c r="HW6" s="281"/>
      <c r="HX6" s="281"/>
      <c r="HY6" s="281"/>
      <c r="HZ6" s="281"/>
      <c r="IA6" s="281"/>
      <c r="IB6" s="281"/>
      <c r="IC6" s="281"/>
      <c r="ID6" s="281"/>
      <c r="IE6" s="281"/>
      <c r="IF6" s="281"/>
      <c r="IG6" s="281"/>
      <c r="IH6" s="281"/>
      <c r="II6" s="281"/>
      <c r="IJ6" s="281"/>
      <c r="IK6" s="281"/>
      <c r="IL6" s="281"/>
      <c r="IM6" s="281"/>
      <c r="IN6" s="281"/>
      <c r="IO6" s="281"/>
      <c r="IP6" s="281"/>
      <c r="IQ6" s="281"/>
      <c r="IR6" s="281"/>
      <c r="IS6" s="281"/>
      <c r="IT6" s="281"/>
      <c r="IU6" s="282"/>
    </row>
    <row r="7" spans="1:255" ht="18" customHeight="1" x14ac:dyDescent="0.15">
      <c r="A7" s="6"/>
      <c r="B7" s="990" t="s">
        <v>217</v>
      </c>
      <c r="C7" s="369">
        <f>((C6-PQG!C5)/(PQG!C6-PQG!C5))/10</f>
        <v>5.5976196738616348</v>
      </c>
      <c r="D7" s="314">
        <f>((D6-PQG!D5)/(PQG!D6-PQG!D5))/10</f>
        <v>5.5468435855864771</v>
      </c>
      <c r="E7" s="1492">
        <f>((E6-PQG!E5)/(PQG!E6-PQG!E5))/10</f>
        <v>9.2671201874239522</v>
      </c>
      <c r="F7" s="434">
        <f>((F6-PQG!F5)/(PQG!F6-PQG!F5))/10</f>
        <v>7.4214937889998653</v>
      </c>
      <c r="G7" s="502">
        <f>((G6-PQG!G5)/(PQG!G6-PQG!G5))/10</f>
        <v>9.2109647573622055</v>
      </c>
      <c r="H7" s="365">
        <f>((H6-PQG!H5)/(PQG!H6-PQG!H5))/10</f>
        <v>8.6046842196457405</v>
      </c>
      <c r="I7" s="309">
        <f>((I6-PQG!I5)/(PQG!I6-PQG!I5))/10</f>
        <v>1.0857668302226169</v>
      </c>
      <c r="J7" s="418">
        <f>((J6-PQG!J5)/(PQG!J6-PQG!J5))/10</f>
        <v>5.4755758235383887</v>
      </c>
      <c r="K7" s="514">
        <f>((K6-PQG!K5)/(PQG!K6-PQG!K5))/10</f>
        <v>5.5547952007922312</v>
      </c>
      <c r="L7" s="345">
        <f>((L6-PQG!L5)/(PQG!L6-PQG!L5))/10</f>
        <v>9.2353850665034543</v>
      </c>
      <c r="M7" s="992" t="s">
        <v>217</v>
      </c>
      <c r="N7" s="301"/>
      <c r="O7" s="281"/>
      <c r="P7" s="281"/>
      <c r="Q7" s="281"/>
      <c r="R7" s="281"/>
      <c r="S7" s="281"/>
      <c r="T7" s="281"/>
      <c r="U7" s="281"/>
      <c r="V7" s="281"/>
      <c r="W7" s="281"/>
      <c r="X7" s="281"/>
      <c r="Y7" s="281"/>
      <c r="Z7" s="281"/>
      <c r="AA7" s="281"/>
      <c r="AB7" s="281"/>
      <c r="AC7" s="281"/>
      <c r="AD7" s="281"/>
      <c r="AE7" s="281"/>
      <c r="AF7" s="281"/>
      <c r="AG7" s="281"/>
      <c r="AH7" s="281"/>
      <c r="AI7" s="281"/>
      <c r="AJ7" s="281"/>
      <c r="AK7" s="281"/>
      <c r="AL7" s="281"/>
      <c r="AM7" s="281"/>
      <c r="AN7" s="281"/>
      <c r="AO7" s="281"/>
      <c r="AP7" s="281"/>
      <c r="AQ7" s="281"/>
      <c r="AR7" s="281"/>
      <c r="AS7" s="281"/>
      <c r="AT7" s="281"/>
      <c r="AU7" s="281"/>
      <c r="AV7" s="281"/>
      <c r="AW7" s="281"/>
      <c r="AX7" s="281"/>
      <c r="AY7" s="281"/>
      <c r="AZ7" s="281"/>
      <c r="BA7" s="281"/>
      <c r="BB7" s="281"/>
      <c r="BC7" s="281"/>
      <c r="BD7" s="281"/>
      <c r="BE7" s="281"/>
      <c r="BF7" s="281"/>
      <c r="BG7" s="281"/>
      <c r="BH7" s="281"/>
      <c r="BI7" s="281"/>
      <c r="BJ7" s="281"/>
      <c r="BK7" s="281"/>
      <c r="BL7" s="281"/>
      <c r="BM7" s="281"/>
      <c r="BN7" s="281"/>
      <c r="BO7" s="281"/>
      <c r="BP7" s="281"/>
      <c r="BQ7" s="281"/>
      <c r="BR7" s="281"/>
      <c r="BS7" s="281"/>
      <c r="BT7" s="281"/>
      <c r="BU7" s="281"/>
      <c r="BV7" s="281"/>
      <c r="BW7" s="281"/>
      <c r="BX7" s="281"/>
      <c r="BY7" s="281"/>
      <c r="BZ7" s="281"/>
      <c r="CA7" s="281"/>
      <c r="CB7" s="281"/>
      <c r="CC7" s="281"/>
      <c r="CD7" s="281"/>
      <c r="CE7" s="281"/>
      <c r="CF7" s="281"/>
      <c r="CG7" s="281"/>
      <c r="CH7" s="281"/>
      <c r="CI7" s="281"/>
      <c r="CJ7" s="281"/>
      <c r="CK7" s="281"/>
      <c r="CL7" s="281"/>
      <c r="CM7" s="281"/>
      <c r="CN7" s="281"/>
      <c r="CO7" s="281"/>
      <c r="CP7" s="281"/>
      <c r="CQ7" s="281"/>
      <c r="CR7" s="281"/>
      <c r="CS7" s="281"/>
      <c r="CT7" s="281"/>
      <c r="CU7" s="281"/>
      <c r="CV7" s="281"/>
      <c r="CW7" s="281"/>
      <c r="CX7" s="281"/>
      <c r="CY7" s="281"/>
      <c r="CZ7" s="281"/>
      <c r="DA7" s="281"/>
      <c r="DB7" s="281"/>
      <c r="DC7" s="281"/>
      <c r="DD7" s="281"/>
      <c r="DE7" s="281"/>
      <c r="DF7" s="281"/>
      <c r="DG7" s="281"/>
      <c r="DH7" s="281"/>
      <c r="DI7" s="281"/>
      <c r="DJ7" s="281"/>
      <c r="DK7" s="281"/>
      <c r="DL7" s="281"/>
      <c r="DM7" s="281"/>
      <c r="DN7" s="281"/>
      <c r="DO7" s="281"/>
      <c r="DP7" s="281"/>
      <c r="DQ7" s="281"/>
      <c r="DR7" s="281"/>
      <c r="DS7" s="281"/>
      <c r="DT7" s="281"/>
      <c r="DU7" s="281"/>
      <c r="DV7" s="281"/>
      <c r="DW7" s="281"/>
      <c r="DX7" s="281"/>
      <c r="DY7" s="281"/>
      <c r="DZ7" s="281"/>
      <c r="EA7" s="281"/>
      <c r="EB7" s="281"/>
      <c r="EC7" s="281"/>
      <c r="ED7" s="281"/>
      <c r="EE7" s="281"/>
      <c r="EF7" s="281"/>
      <c r="EG7" s="281"/>
      <c r="EH7" s="281"/>
      <c r="EI7" s="281"/>
      <c r="EJ7" s="281"/>
      <c r="EK7" s="281"/>
      <c r="EL7" s="281"/>
      <c r="EM7" s="281"/>
      <c r="EN7" s="281"/>
      <c r="EO7" s="281"/>
      <c r="EP7" s="281"/>
      <c r="EQ7" s="281"/>
      <c r="ER7" s="281"/>
      <c r="ES7" s="281"/>
      <c r="ET7" s="281"/>
      <c r="EU7" s="281"/>
      <c r="EV7" s="281"/>
      <c r="EW7" s="281"/>
      <c r="EX7" s="281"/>
      <c r="EY7" s="281"/>
      <c r="EZ7" s="281"/>
      <c r="FA7" s="281"/>
      <c r="FB7" s="281"/>
      <c r="FC7" s="281"/>
      <c r="FD7" s="281"/>
      <c r="FE7" s="281"/>
      <c r="FF7" s="281"/>
      <c r="FG7" s="281"/>
      <c r="FH7" s="281"/>
      <c r="FI7" s="281"/>
      <c r="FJ7" s="281"/>
      <c r="FK7" s="281"/>
      <c r="FL7" s="281"/>
      <c r="FM7" s="281"/>
      <c r="FN7" s="281"/>
      <c r="FO7" s="281"/>
      <c r="FP7" s="281"/>
      <c r="FQ7" s="281"/>
      <c r="FR7" s="281"/>
      <c r="FS7" s="281"/>
      <c r="FT7" s="281"/>
      <c r="FU7" s="281"/>
      <c r="FV7" s="281"/>
      <c r="FW7" s="281"/>
      <c r="FX7" s="281"/>
      <c r="FY7" s="281"/>
      <c r="FZ7" s="281"/>
      <c r="GA7" s="281"/>
      <c r="GB7" s="281"/>
      <c r="GC7" s="281"/>
      <c r="GD7" s="281"/>
      <c r="GE7" s="281"/>
      <c r="GF7" s="281"/>
      <c r="GG7" s="281"/>
      <c r="GH7" s="281"/>
      <c r="GI7" s="281"/>
      <c r="GJ7" s="281"/>
      <c r="GK7" s="281"/>
      <c r="GL7" s="281"/>
      <c r="GM7" s="281"/>
      <c r="GN7" s="281"/>
      <c r="GO7" s="281"/>
      <c r="GP7" s="281"/>
      <c r="GQ7" s="281"/>
      <c r="GR7" s="281"/>
      <c r="GS7" s="281"/>
      <c r="GT7" s="281"/>
      <c r="GU7" s="281"/>
      <c r="GV7" s="281"/>
      <c r="GW7" s="281"/>
      <c r="GX7" s="281"/>
      <c r="GY7" s="281"/>
      <c r="GZ7" s="281"/>
      <c r="HA7" s="281"/>
      <c r="HB7" s="281"/>
      <c r="HC7" s="281"/>
      <c r="HD7" s="281"/>
      <c r="HE7" s="281"/>
      <c r="HF7" s="281"/>
      <c r="HG7" s="281"/>
      <c r="HH7" s="281"/>
      <c r="HI7" s="281"/>
      <c r="HJ7" s="281"/>
      <c r="HK7" s="281"/>
      <c r="HL7" s="281"/>
      <c r="HM7" s="281"/>
      <c r="HN7" s="281"/>
      <c r="HO7" s="281"/>
      <c r="HP7" s="281"/>
      <c r="HQ7" s="281"/>
      <c r="HR7" s="281"/>
      <c r="HS7" s="281"/>
      <c r="HT7" s="281"/>
      <c r="HU7" s="281"/>
      <c r="HV7" s="281"/>
      <c r="HW7" s="281"/>
      <c r="HX7" s="281"/>
      <c r="HY7" s="281"/>
      <c r="HZ7" s="281"/>
      <c r="IA7" s="281"/>
      <c r="IB7" s="281"/>
      <c r="IC7" s="281"/>
      <c r="ID7" s="281"/>
      <c r="IE7" s="281"/>
      <c r="IF7" s="281"/>
      <c r="IG7" s="281"/>
      <c r="IH7" s="281"/>
      <c r="II7" s="281"/>
      <c r="IJ7" s="281"/>
      <c r="IK7" s="281"/>
      <c r="IL7" s="281"/>
      <c r="IM7" s="281"/>
      <c r="IN7" s="281"/>
      <c r="IO7" s="281"/>
      <c r="IP7" s="281"/>
      <c r="IQ7" s="281"/>
      <c r="IR7" s="281"/>
      <c r="IS7" s="281"/>
      <c r="IT7" s="281"/>
      <c r="IU7" s="282"/>
    </row>
    <row r="8" spans="1:255" ht="18" hidden="1" customHeight="1" x14ac:dyDescent="0.15">
      <c r="A8" s="6"/>
      <c r="B8" s="817" t="s">
        <v>278</v>
      </c>
      <c r="C8" s="923"/>
      <c r="D8" s="852"/>
      <c r="E8" s="1493"/>
      <c r="F8" s="924"/>
      <c r="G8" s="998"/>
      <c r="H8" s="999"/>
      <c r="I8" s="856"/>
      <c r="J8" s="1000"/>
      <c r="K8" s="1001"/>
      <c r="L8" s="859"/>
      <c r="M8" s="827" t="s">
        <v>278</v>
      </c>
      <c r="N8" s="301"/>
      <c r="O8" s="281"/>
      <c r="P8" s="281"/>
      <c r="Q8" s="281"/>
      <c r="R8" s="281"/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/>
      <c r="AJ8" s="281"/>
      <c r="AK8" s="281"/>
      <c r="AL8" s="281"/>
      <c r="AM8" s="281"/>
      <c r="AN8" s="281"/>
      <c r="AO8" s="281"/>
      <c r="AP8" s="281"/>
      <c r="AQ8" s="281"/>
      <c r="AR8" s="281"/>
      <c r="AS8" s="281"/>
      <c r="AT8" s="281"/>
      <c r="AU8" s="281"/>
      <c r="AV8" s="281"/>
      <c r="AW8" s="281"/>
      <c r="AX8" s="281"/>
      <c r="AY8" s="281"/>
      <c r="AZ8" s="281"/>
      <c r="BA8" s="281"/>
      <c r="BB8" s="281"/>
      <c r="BC8" s="281"/>
      <c r="BD8" s="281"/>
      <c r="BE8" s="281"/>
      <c r="BF8" s="281"/>
      <c r="BG8" s="281"/>
      <c r="BH8" s="281"/>
      <c r="BI8" s="281"/>
      <c r="BJ8" s="281"/>
      <c r="BK8" s="281"/>
      <c r="BL8" s="281"/>
      <c r="BM8" s="281"/>
      <c r="BN8" s="281"/>
      <c r="BO8" s="281"/>
      <c r="BP8" s="281"/>
      <c r="BQ8" s="281"/>
      <c r="BR8" s="281"/>
      <c r="BS8" s="281"/>
      <c r="BT8" s="281"/>
      <c r="BU8" s="281"/>
      <c r="BV8" s="281"/>
      <c r="BW8" s="281"/>
      <c r="BX8" s="281"/>
      <c r="BY8" s="281"/>
      <c r="BZ8" s="281"/>
      <c r="CA8" s="281"/>
      <c r="CB8" s="281"/>
      <c r="CC8" s="281"/>
      <c r="CD8" s="281"/>
      <c r="CE8" s="281"/>
      <c r="CF8" s="281"/>
      <c r="CG8" s="281"/>
      <c r="CH8" s="281"/>
      <c r="CI8" s="281"/>
      <c r="CJ8" s="281"/>
      <c r="CK8" s="281"/>
      <c r="CL8" s="281"/>
      <c r="CM8" s="281"/>
      <c r="CN8" s="281"/>
      <c r="CO8" s="281"/>
      <c r="CP8" s="281"/>
      <c r="CQ8" s="281"/>
      <c r="CR8" s="281"/>
      <c r="CS8" s="281"/>
      <c r="CT8" s="281"/>
      <c r="CU8" s="281"/>
      <c r="CV8" s="281"/>
      <c r="CW8" s="281"/>
      <c r="CX8" s="281"/>
      <c r="CY8" s="281"/>
      <c r="CZ8" s="281"/>
      <c r="DA8" s="281"/>
      <c r="DB8" s="281"/>
      <c r="DC8" s="281"/>
      <c r="DD8" s="281"/>
      <c r="DE8" s="281"/>
      <c r="DF8" s="281"/>
      <c r="DG8" s="281"/>
      <c r="DH8" s="281"/>
      <c r="DI8" s="281"/>
      <c r="DJ8" s="281"/>
      <c r="DK8" s="281"/>
      <c r="DL8" s="281"/>
      <c r="DM8" s="281"/>
      <c r="DN8" s="281"/>
      <c r="DO8" s="281"/>
      <c r="DP8" s="281"/>
      <c r="DQ8" s="281"/>
      <c r="DR8" s="281"/>
      <c r="DS8" s="281"/>
      <c r="DT8" s="281"/>
      <c r="DU8" s="281"/>
      <c r="DV8" s="281"/>
      <c r="DW8" s="281"/>
      <c r="DX8" s="281"/>
      <c r="DY8" s="281"/>
      <c r="DZ8" s="281"/>
      <c r="EA8" s="281"/>
      <c r="EB8" s="281"/>
      <c r="EC8" s="281"/>
      <c r="ED8" s="281"/>
      <c r="EE8" s="281"/>
      <c r="EF8" s="281"/>
      <c r="EG8" s="281"/>
      <c r="EH8" s="281"/>
      <c r="EI8" s="281"/>
      <c r="EJ8" s="281"/>
      <c r="EK8" s="281"/>
      <c r="EL8" s="281"/>
      <c r="EM8" s="281"/>
      <c r="EN8" s="281"/>
      <c r="EO8" s="281"/>
      <c r="EP8" s="281"/>
      <c r="EQ8" s="281"/>
      <c r="ER8" s="281"/>
      <c r="ES8" s="281"/>
      <c r="ET8" s="281"/>
      <c r="EU8" s="281"/>
      <c r="EV8" s="281"/>
      <c r="EW8" s="281"/>
      <c r="EX8" s="281"/>
      <c r="EY8" s="281"/>
      <c r="EZ8" s="281"/>
      <c r="FA8" s="281"/>
      <c r="FB8" s="281"/>
      <c r="FC8" s="281"/>
      <c r="FD8" s="281"/>
      <c r="FE8" s="281"/>
      <c r="FF8" s="281"/>
      <c r="FG8" s="281"/>
      <c r="FH8" s="281"/>
      <c r="FI8" s="281"/>
      <c r="FJ8" s="281"/>
      <c r="FK8" s="281"/>
      <c r="FL8" s="281"/>
      <c r="FM8" s="281"/>
      <c r="FN8" s="281"/>
      <c r="FO8" s="281"/>
      <c r="FP8" s="281"/>
      <c r="FQ8" s="281"/>
      <c r="FR8" s="281"/>
      <c r="FS8" s="281"/>
      <c r="FT8" s="281"/>
      <c r="FU8" s="281"/>
      <c r="FV8" s="281"/>
      <c r="FW8" s="281"/>
      <c r="FX8" s="281"/>
      <c r="FY8" s="281"/>
      <c r="FZ8" s="281"/>
      <c r="GA8" s="281"/>
      <c r="GB8" s="281"/>
      <c r="GC8" s="281"/>
      <c r="GD8" s="281"/>
      <c r="GE8" s="281"/>
      <c r="GF8" s="281"/>
      <c r="GG8" s="281"/>
      <c r="GH8" s="281"/>
      <c r="GI8" s="281"/>
      <c r="GJ8" s="281"/>
      <c r="GK8" s="281"/>
      <c r="GL8" s="281"/>
      <c r="GM8" s="281"/>
      <c r="GN8" s="281"/>
      <c r="GO8" s="281"/>
      <c r="GP8" s="281"/>
      <c r="GQ8" s="281"/>
      <c r="GR8" s="281"/>
      <c r="GS8" s="281"/>
      <c r="GT8" s="281"/>
      <c r="GU8" s="281"/>
      <c r="GV8" s="281"/>
      <c r="GW8" s="281"/>
      <c r="GX8" s="281"/>
      <c r="GY8" s="281"/>
      <c r="GZ8" s="281"/>
      <c r="HA8" s="281"/>
      <c r="HB8" s="281"/>
      <c r="HC8" s="281"/>
      <c r="HD8" s="281"/>
      <c r="HE8" s="281"/>
      <c r="HF8" s="281"/>
      <c r="HG8" s="281"/>
      <c r="HH8" s="281"/>
      <c r="HI8" s="281"/>
      <c r="HJ8" s="281"/>
      <c r="HK8" s="281"/>
      <c r="HL8" s="281"/>
      <c r="HM8" s="281"/>
      <c r="HN8" s="281"/>
      <c r="HO8" s="281"/>
      <c r="HP8" s="281"/>
      <c r="HQ8" s="281"/>
      <c r="HR8" s="281"/>
      <c r="HS8" s="281"/>
      <c r="HT8" s="281"/>
      <c r="HU8" s="281"/>
      <c r="HV8" s="281"/>
      <c r="HW8" s="281"/>
      <c r="HX8" s="281"/>
      <c r="HY8" s="281"/>
      <c r="HZ8" s="281"/>
      <c r="IA8" s="281"/>
      <c r="IB8" s="281"/>
      <c r="IC8" s="281"/>
      <c r="ID8" s="281"/>
      <c r="IE8" s="281"/>
      <c r="IF8" s="281"/>
      <c r="IG8" s="281"/>
      <c r="IH8" s="281"/>
      <c r="II8" s="281"/>
      <c r="IJ8" s="281"/>
      <c r="IK8" s="281"/>
      <c r="IL8" s="281"/>
      <c r="IM8" s="281"/>
      <c r="IN8" s="281"/>
      <c r="IO8" s="281"/>
      <c r="IP8" s="281"/>
      <c r="IQ8" s="281"/>
      <c r="IR8" s="281"/>
      <c r="IS8" s="281"/>
      <c r="IT8" s="281"/>
      <c r="IU8" s="282"/>
    </row>
    <row r="9" spans="1:255" ht="18" customHeight="1" x14ac:dyDescent="0.15">
      <c r="A9" s="6"/>
      <c r="B9" s="1699" t="s">
        <v>279</v>
      </c>
      <c r="C9"/>
      <c r="D9"/>
      <c r="E9"/>
      <c r="F9"/>
      <c r="G9"/>
      <c r="H9"/>
      <c r="I9"/>
      <c r="J9"/>
      <c r="K9"/>
      <c r="L9"/>
      <c r="M9" s="1700" t="s">
        <v>279</v>
      </c>
      <c r="N9" s="30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T9" s="281"/>
      <c r="AU9" s="281"/>
      <c r="AV9" s="281"/>
      <c r="AW9" s="281"/>
      <c r="AX9" s="281"/>
      <c r="AY9" s="281"/>
      <c r="AZ9" s="281"/>
      <c r="BA9" s="281"/>
      <c r="BB9" s="281"/>
      <c r="BC9" s="281"/>
      <c r="BD9" s="281"/>
      <c r="BE9" s="281"/>
      <c r="BF9" s="281"/>
      <c r="BG9" s="281"/>
      <c r="BH9" s="281"/>
      <c r="BI9" s="281"/>
      <c r="BJ9" s="281"/>
      <c r="BK9" s="281"/>
      <c r="BL9" s="281"/>
      <c r="BM9" s="281"/>
      <c r="BN9" s="281"/>
      <c r="BO9" s="281"/>
      <c r="BP9" s="281"/>
      <c r="BQ9" s="281"/>
      <c r="BR9" s="281"/>
      <c r="BS9" s="281"/>
      <c r="BT9" s="281"/>
      <c r="BU9" s="281"/>
      <c r="BV9" s="281"/>
      <c r="BW9" s="281"/>
      <c r="BX9" s="281"/>
      <c r="BY9" s="281"/>
      <c r="BZ9" s="281"/>
      <c r="CA9" s="281"/>
      <c r="CB9" s="281"/>
      <c r="CC9" s="281"/>
      <c r="CD9" s="281"/>
      <c r="CE9" s="281"/>
      <c r="CF9" s="281"/>
      <c r="CG9" s="281"/>
      <c r="CH9" s="281"/>
      <c r="CI9" s="281"/>
      <c r="CJ9" s="281"/>
      <c r="CK9" s="281"/>
      <c r="CL9" s="281"/>
      <c r="CM9" s="281"/>
      <c r="CN9" s="281"/>
      <c r="CO9" s="281"/>
      <c r="CP9" s="281"/>
      <c r="CQ9" s="281"/>
      <c r="CR9" s="281"/>
      <c r="CS9" s="281"/>
      <c r="CT9" s="281"/>
      <c r="CU9" s="281"/>
      <c r="CV9" s="281"/>
      <c r="CW9" s="281"/>
      <c r="CX9" s="281"/>
      <c r="CY9" s="281"/>
      <c r="CZ9" s="281"/>
      <c r="DA9" s="281"/>
      <c r="DB9" s="281"/>
      <c r="DC9" s="281"/>
      <c r="DD9" s="281"/>
      <c r="DE9" s="281"/>
      <c r="DF9" s="281"/>
      <c r="DG9" s="281"/>
      <c r="DH9" s="281"/>
      <c r="DI9" s="281"/>
      <c r="DJ9" s="281"/>
      <c r="DK9" s="281"/>
      <c r="DL9" s="281"/>
      <c r="DM9" s="281"/>
      <c r="DN9" s="281"/>
      <c r="DO9" s="281"/>
      <c r="DP9" s="281"/>
      <c r="DQ9" s="281"/>
      <c r="DR9" s="281"/>
      <c r="DS9" s="281"/>
      <c r="DT9" s="281"/>
      <c r="DU9" s="281"/>
      <c r="DV9" s="281"/>
      <c r="DW9" s="281"/>
      <c r="DX9" s="281"/>
      <c r="DY9" s="281"/>
      <c r="DZ9" s="281"/>
      <c r="EA9" s="281"/>
      <c r="EB9" s="281"/>
      <c r="EC9" s="281"/>
      <c r="ED9" s="281"/>
      <c r="EE9" s="281"/>
      <c r="EF9" s="281"/>
      <c r="EG9" s="281"/>
      <c r="EH9" s="281"/>
      <c r="EI9" s="281"/>
      <c r="EJ9" s="281"/>
      <c r="EK9" s="281"/>
      <c r="EL9" s="281"/>
      <c r="EM9" s="281"/>
      <c r="EN9" s="281"/>
      <c r="EO9" s="281"/>
      <c r="EP9" s="281"/>
      <c r="EQ9" s="281"/>
      <c r="ER9" s="281"/>
      <c r="ES9" s="281"/>
      <c r="ET9" s="281"/>
      <c r="EU9" s="281"/>
      <c r="EV9" s="281"/>
      <c r="EW9" s="281"/>
      <c r="EX9" s="281"/>
      <c r="EY9" s="281"/>
      <c r="EZ9" s="281"/>
      <c r="FA9" s="281"/>
      <c r="FB9" s="281"/>
      <c r="FC9" s="281"/>
      <c r="FD9" s="281"/>
      <c r="FE9" s="281"/>
      <c r="FF9" s="281"/>
      <c r="FG9" s="281"/>
      <c r="FH9" s="281"/>
      <c r="FI9" s="281"/>
      <c r="FJ9" s="281"/>
      <c r="FK9" s="281"/>
      <c r="FL9" s="281"/>
      <c r="FM9" s="281"/>
      <c r="FN9" s="281"/>
      <c r="FO9" s="281"/>
      <c r="FP9" s="281"/>
      <c r="FQ9" s="281"/>
      <c r="FR9" s="281"/>
      <c r="FS9" s="281"/>
      <c r="FT9" s="281"/>
      <c r="FU9" s="281"/>
      <c r="FV9" s="281"/>
      <c r="FW9" s="281"/>
      <c r="FX9" s="281"/>
      <c r="FY9" s="281"/>
      <c r="FZ9" s="281"/>
      <c r="GA9" s="281"/>
      <c r="GB9" s="281"/>
      <c r="GC9" s="281"/>
      <c r="GD9" s="281"/>
      <c r="GE9" s="281"/>
      <c r="GF9" s="281"/>
      <c r="GG9" s="281"/>
      <c r="GH9" s="281"/>
      <c r="GI9" s="281"/>
      <c r="GJ9" s="281"/>
      <c r="GK9" s="281"/>
      <c r="GL9" s="281"/>
      <c r="GM9" s="281"/>
      <c r="GN9" s="281"/>
      <c r="GO9" s="281"/>
      <c r="GP9" s="281"/>
      <c r="GQ9" s="281"/>
      <c r="GR9" s="281"/>
      <c r="GS9" s="281"/>
      <c r="GT9" s="281"/>
      <c r="GU9" s="281"/>
      <c r="GV9" s="281"/>
      <c r="GW9" s="281"/>
      <c r="GX9" s="281"/>
      <c r="GY9" s="281"/>
      <c r="GZ9" s="281"/>
      <c r="HA9" s="281"/>
      <c r="HB9" s="281"/>
      <c r="HC9" s="281"/>
      <c r="HD9" s="281"/>
      <c r="HE9" s="281"/>
      <c r="HF9" s="281"/>
      <c r="HG9" s="281"/>
      <c r="HH9" s="281"/>
      <c r="HI9" s="281"/>
      <c r="HJ9" s="281"/>
      <c r="HK9" s="281"/>
      <c r="HL9" s="281"/>
      <c r="HM9" s="281"/>
      <c r="HN9" s="281"/>
      <c r="HO9" s="281"/>
      <c r="HP9" s="281"/>
      <c r="HQ9" s="281"/>
      <c r="HR9" s="281"/>
      <c r="HS9" s="281"/>
      <c r="HT9" s="281"/>
      <c r="HU9" s="281"/>
      <c r="HV9" s="281"/>
      <c r="HW9" s="281"/>
      <c r="HX9" s="281"/>
      <c r="HY9" s="281"/>
      <c r="HZ9" s="281"/>
      <c r="IA9" s="281"/>
      <c r="IB9" s="281"/>
      <c r="IC9" s="281"/>
      <c r="ID9" s="281"/>
      <c r="IE9" s="281"/>
      <c r="IF9" s="281"/>
      <c r="IG9" s="281"/>
      <c r="IH9" s="281"/>
      <c r="II9" s="281"/>
      <c r="IJ9" s="281"/>
      <c r="IK9" s="281"/>
      <c r="IL9" s="281"/>
      <c r="IM9" s="281"/>
      <c r="IN9" s="281"/>
      <c r="IO9" s="281"/>
      <c r="IP9" s="281"/>
      <c r="IQ9" s="281"/>
      <c r="IR9" s="281"/>
      <c r="IS9" s="281"/>
      <c r="IT9" s="281"/>
      <c r="IU9" s="282"/>
    </row>
    <row r="10" spans="1:255" ht="18" hidden="1" customHeight="1" x14ac:dyDescent="0.15">
      <c r="A10" s="6"/>
      <c r="B10" s="1694" t="s">
        <v>280</v>
      </c>
      <c r="C10" s="1674">
        <f t="shared" ref="C10:L10" si="1">C9-C8</f>
        <v>0</v>
      </c>
      <c r="D10" s="1675">
        <f t="shared" si="1"/>
        <v>0</v>
      </c>
      <c r="E10" s="1676">
        <f t="shared" si="1"/>
        <v>0</v>
      </c>
      <c r="F10" s="1677">
        <f t="shared" si="1"/>
        <v>0</v>
      </c>
      <c r="G10" s="1678">
        <f t="shared" si="1"/>
        <v>0</v>
      </c>
      <c r="H10" s="1679">
        <f t="shared" si="1"/>
        <v>0</v>
      </c>
      <c r="I10" s="1680">
        <f t="shared" si="1"/>
        <v>0</v>
      </c>
      <c r="J10" s="1681">
        <f t="shared" si="1"/>
        <v>0</v>
      </c>
      <c r="K10" s="1682">
        <f t="shared" si="1"/>
        <v>0</v>
      </c>
      <c r="L10" s="1683">
        <f t="shared" si="1"/>
        <v>0</v>
      </c>
      <c r="M10" s="1697" t="s">
        <v>280</v>
      </c>
      <c r="N10" s="301"/>
      <c r="O10" s="281"/>
      <c r="P10" s="281"/>
      <c r="Q10" s="281"/>
      <c r="R10" s="281"/>
      <c r="S10" s="281"/>
      <c r="T10" s="281"/>
      <c r="U10" s="281"/>
      <c r="V10" s="281"/>
      <c r="W10" s="281"/>
      <c r="X10" s="281"/>
      <c r="Y10" s="281"/>
      <c r="Z10" s="281"/>
      <c r="AA10" s="281"/>
      <c r="AB10" s="281"/>
      <c r="AC10" s="281"/>
      <c r="AD10" s="281"/>
      <c r="AE10" s="281"/>
      <c r="AF10" s="281"/>
      <c r="AG10" s="281"/>
      <c r="AH10" s="281"/>
      <c r="AI10" s="281"/>
      <c r="AJ10" s="281"/>
      <c r="AK10" s="281"/>
      <c r="AL10" s="281"/>
      <c r="AM10" s="281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  <c r="BB10" s="281"/>
      <c r="BC10" s="281"/>
      <c r="BD10" s="281"/>
      <c r="BE10" s="281"/>
      <c r="BF10" s="281"/>
      <c r="BG10" s="281"/>
      <c r="BH10" s="281"/>
      <c r="BI10" s="281"/>
      <c r="BJ10" s="281"/>
      <c r="BK10" s="281"/>
      <c r="BL10" s="281"/>
      <c r="BM10" s="281"/>
      <c r="BN10" s="281"/>
      <c r="BO10" s="281"/>
      <c r="BP10" s="281"/>
      <c r="BQ10" s="281"/>
      <c r="BR10" s="281"/>
      <c r="BS10" s="281"/>
      <c r="BT10" s="281"/>
      <c r="BU10" s="281"/>
      <c r="BV10" s="281"/>
      <c r="BW10" s="281"/>
      <c r="BX10" s="281"/>
      <c r="BY10" s="281"/>
      <c r="BZ10" s="281"/>
      <c r="CA10" s="281"/>
      <c r="CB10" s="281"/>
      <c r="CC10" s="281"/>
      <c r="CD10" s="281"/>
      <c r="CE10" s="281"/>
      <c r="CF10" s="281"/>
      <c r="CG10" s="281"/>
      <c r="CH10" s="281"/>
      <c r="CI10" s="281"/>
      <c r="CJ10" s="281"/>
      <c r="CK10" s="281"/>
      <c r="CL10" s="281"/>
      <c r="CM10" s="281"/>
      <c r="CN10" s="281"/>
      <c r="CO10" s="281"/>
      <c r="CP10" s="281"/>
      <c r="CQ10" s="281"/>
      <c r="CR10" s="281"/>
      <c r="CS10" s="281"/>
      <c r="CT10" s="281"/>
      <c r="CU10" s="281"/>
      <c r="CV10" s="281"/>
      <c r="CW10" s="281"/>
      <c r="CX10" s="281"/>
      <c r="CY10" s="281"/>
      <c r="CZ10" s="281"/>
      <c r="DA10" s="281"/>
      <c r="DB10" s="281"/>
      <c r="DC10" s="281"/>
      <c r="DD10" s="281"/>
      <c r="DE10" s="281"/>
      <c r="DF10" s="281"/>
      <c r="DG10" s="281"/>
      <c r="DH10" s="281"/>
      <c r="DI10" s="281"/>
      <c r="DJ10" s="281"/>
      <c r="DK10" s="281"/>
      <c r="DL10" s="281"/>
      <c r="DM10" s="281"/>
      <c r="DN10" s="281"/>
      <c r="DO10" s="281"/>
      <c r="DP10" s="281"/>
      <c r="DQ10" s="281"/>
      <c r="DR10" s="281"/>
      <c r="DS10" s="281"/>
      <c r="DT10" s="281"/>
      <c r="DU10" s="281"/>
      <c r="DV10" s="281"/>
      <c r="DW10" s="281"/>
      <c r="DX10" s="281"/>
      <c r="DY10" s="281"/>
      <c r="DZ10" s="281"/>
      <c r="EA10" s="281"/>
      <c r="EB10" s="281"/>
      <c r="EC10" s="281"/>
      <c r="ED10" s="281"/>
      <c r="EE10" s="281"/>
      <c r="EF10" s="281"/>
      <c r="EG10" s="281"/>
      <c r="EH10" s="281"/>
      <c r="EI10" s="281"/>
      <c r="EJ10" s="281"/>
      <c r="EK10" s="281"/>
      <c r="EL10" s="281"/>
      <c r="EM10" s="281"/>
      <c r="EN10" s="281"/>
      <c r="EO10" s="281"/>
      <c r="EP10" s="281"/>
      <c r="EQ10" s="281"/>
      <c r="ER10" s="281"/>
      <c r="ES10" s="281"/>
      <c r="ET10" s="281"/>
      <c r="EU10" s="281"/>
      <c r="EV10" s="281"/>
      <c r="EW10" s="281"/>
      <c r="EX10" s="281"/>
      <c r="EY10" s="281"/>
      <c r="EZ10" s="281"/>
      <c r="FA10" s="281"/>
      <c r="FB10" s="281"/>
      <c r="FC10" s="281"/>
      <c r="FD10" s="281"/>
      <c r="FE10" s="281"/>
      <c r="FF10" s="281"/>
      <c r="FG10" s="281"/>
      <c r="FH10" s="281"/>
      <c r="FI10" s="281"/>
      <c r="FJ10" s="281"/>
      <c r="FK10" s="281"/>
      <c r="FL10" s="281"/>
      <c r="FM10" s="281"/>
      <c r="FN10" s="281"/>
      <c r="FO10" s="281"/>
      <c r="FP10" s="281"/>
      <c r="FQ10" s="281"/>
      <c r="FR10" s="281"/>
      <c r="FS10" s="281"/>
      <c r="FT10" s="281"/>
      <c r="FU10" s="281"/>
      <c r="FV10" s="281"/>
      <c r="FW10" s="281"/>
      <c r="FX10" s="281"/>
      <c r="FY10" s="281"/>
      <c r="FZ10" s="281"/>
      <c r="GA10" s="281"/>
      <c r="GB10" s="281"/>
      <c r="GC10" s="281"/>
      <c r="GD10" s="281"/>
      <c r="GE10" s="281"/>
      <c r="GF10" s="281"/>
      <c r="GG10" s="281"/>
      <c r="GH10" s="281"/>
      <c r="GI10" s="281"/>
      <c r="GJ10" s="281"/>
      <c r="GK10" s="281"/>
      <c r="GL10" s="281"/>
      <c r="GM10" s="281"/>
      <c r="GN10" s="281"/>
      <c r="GO10" s="281"/>
      <c r="GP10" s="281"/>
      <c r="GQ10" s="281"/>
      <c r="GR10" s="281"/>
      <c r="GS10" s="281"/>
      <c r="GT10" s="281"/>
      <c r="GU10" s="281"/>
      <c r="GV10" s="281"/>
      <c r="GW10" s="281"/>
      <c r="GX10" s="281"/>
      <c r="GY10" s="281"/>
      <c r="GZ10" s="281"/>
      <c r="HA10" s="281"/>
      <c r="HB10" s="281"/>
      <c r="HC10" s="281"/>
      <c r="HD10" s="281"/>
      <c r="HE10" s="281"/>
      <c r="HF10" s="281"/>
      <c r="HG10" s="281"/>
      <c r="HH10" s="281"/>
      <c r="HI10" s="281"/>
      <c r="HJ10" s="281"/>
      <c r="HK10" s="281"/>
      <c r="HL10" s="281"/>
      <c r="HM10" s="281"/>
      <c r="HN10" s="281"/>
      <c r="HO10" s="281"/>
      <c r="HP10" s="281"/>
      <c r="HQ10" s="281"/>
      <c r="HR10" s="281"/>
      <c r="HS10" s="281"/>
      <c r="HT10" s="281"/>
      <c r="HU10" s="281"/>
      <c r="HV10" s="281"/>
      <c r="HW10" s="281"/>
      <c r="HX10" s="281"/>
      <c r="HY10" s="281"/>
      <c r="HZ10" s="281"/>
      <c r="IA10" s="281"/>
      <c r="IB10" s="281"/>
      <c r="IC10" s="281"/>
      <c r="ID10" s="281"/>
      <c r="IE10" s="281"/>
      <c r="IF10" s="281"/>
      <c r="IG10" s="281"/>
      <c r="IH10" s="281"/>
      <c r="II10" s="281"/>
      <c r="IJ10" s="281"/>
      <c r="IK10" s="281"/>
      <c r="IL10" s="281"/>
      <c r="IM10" s="281"/>
      <c r="IN10" s="281"/>
      <c r="IO10" s="281"/>
      <c r="IP10" s="281"/>
      <c r="IQ10" s="281"/>
      <c r="IR10" s="281"/>
      <c r="IS10" s="281"/>
      <c r="IT10" s="281"/>
      <c r="IU10" s="282"/>
    </row>
    <row r="11" spans="1:255" ht="18" customHeight="1" x14ac:dyDescent="0.15">
      <c r="A11" s="6"/>
      <c r="B11" s="1695" t="s">
        <v>281</v>
      </c>
      <c r="C11" s="1684">
        <v>2.8E-3</v>
      </c>
      <c r="D11" s="1685">
        <v>1.484842</v>
      </c>
      <c r="E11" s="1686">
        <v>1.74193</v>
      </c>
      <c r="F11" s="1687">
        <v>1.018</v>
      </c>
      <c r="G11" s="1688">
        <v>2.6840130000000002</v>
      </c>
      <c r="H11" s="1689">
        <v>6.472099</v>
      </c>
      <c r="I11" s="1690">
        <v>11.107984</v>
      </c>
      <c r="J11" s="1691">
        <v>21.126785000000002</v>
      </c>
      <c r="K11" s="1692">
        <v>31.399393</v>
      </c>
      <c r="L11" s="1693">
        <v>50.386000000000003</v>
      </c>
      <c r="M11" s="1698" t="s">
        <v>281</v>
      </c>
      <c r="N11" s="30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  <c r="AM11" s="281"/>
      <c r="AN11" s="281"/>
      <c r="AO11" s="281"/>
      <c r="AP11" s="281"/>
      <c r="AQ11" s="281"/>
      <c r="AR11" s="281"/>
      <c r="AS11" s="281"/>
      <c r="AT11" s="281"/>
      <c r="AU11" s="281"/>
      <c r="AV11" s="281"/>
      <c r="AW11" s="281"/>
      <c r="AX11" s="281"/>
      <c r="AY11" s="281"/>
      <c r="AZ11" s="281"/>
      <c r="BA11" s="281"/>
      <c r="BB11" s="281"/>
      <c r="BC11" s="281"/>
      <c r="BD11" s="281"/>
      <c r="BE11" s="281"/>
      <c r="BF11" s="281"/>
      <c r="BG11" s="281"/>
      <c r="BH11" s="281"/>
      <c r="BI11" s="281"/>
      <c r="BJ11" s="281"/>
      <c r="BK11" s="281"/>
      <c r="BL11" s="281"/>
      <c r="BM11" s="281"/>
      <c r="BN11" s="281"/>
      <c r="BO11" s="281"/>
      <c r="BP11" s="281"/>
      <c r="BQ11" s="281"/>
      <c r="BR11" s="281"/>
      <c r="BS11" s="281"/>
      <c r="BT11" s="281"/>
      <c r="BU11" s="281"/>
      <c r="BV11" s="281"/>
      <c r="BW11" s="281"/>
      <c r="BX11" s="281"/>
      <c r="BY11" s="281"/>
      <c r="BZ11" s="281"/>
      <c r="CA11" s="281"/>
      <c r="CB11" s="281"/>
      <c r="CC11" s="281"/>
      <c r="CD11" s="281"/>
      <c r="CE11" s="281"/>
      <c r="CF11" s="281"/>
      <c r="CG11" s="281"/>
      <c r="CH11" s="281"/>
      <c r="CI11" s="281"/>
      <c r="CJ11" s="281"/>
      <c r="CK11" s="281"/>
      <c r="CL11" s="281"/>
      <c r="CM11" s="281"/>
      <c r="CN11" s="281"/>
      <c r="CO11" s="281"/>
      <c r="CP11" s="281"/>
      <c r="CQ11" s="281"/>
      <c r="CR11" s="281"/>
      <c r="CS11" s="281"/>
      <c r="CT11" s="281"/>
      <c r="CU11" s="281"/>
      <c r="CV11" s="281"/>
      <c r="CW11" s="281"/>
      <c r="CX11" s="281"/>
      <c r="CY11" s="281"/>
      <c r="CZ11" s="281"/>
      <c r="DA11" s="281"/>
      <c r="DB11" s="281"/>
      <c r="DC11" s="281"/>
      <c r="DD11" s="281"/>
      <c r="DE11" s="281"/>
      <c r="DF11" s="281"/>
      <c r="DG11" s="281"/>
      <c r="DH11" s="281"/>
      <c r="DI11" s="281"/>
      <c r="DJ11" s="281"/>
      <c r="DK11" s="281"/>
      <c r="DL11" s="281"/>
      <c r="DM11" s="281"/>
      <c r="DN11" s="281"/>
      <c r="DO11" s="281"/>
      <c r="DP11" s="281"/>
      <c r="DQ11" s="281"/>
      <c r="DR11" s="281"/>
      <c r="DS11" s="281"/>
      <c r="DT11" s="281"/>
      <c r="DU11" s="281"/>
      <c r="DV11" s="281"/>
      <c r="DW11" s="281"/>
      <c r="DX11" s="281"/>
      <c r="DY11" s="281"/>
      <c r="DZ11" s="281"/>
      <c r="EA11" s="281"/>
      <c r="EB11" s="281"/>
      <c r="EC11" s="281"/>
      <c r="ED11" s="281"/>
      <c r="EE11" s="281"/>
      <c r="EF11" s="281"/>
      <c r="EG11" s="281"/>
      <c r="EH11" s="281"/>
      <c r="EI11" s="281"/>
      <c r="EJ11" s="281"/>
      <c r="EK11" s="281"/>
      <c r="EL11" s="281"/>
      <c r="EM11" s="281"/>
      <c r="EN11" s="281"/>
      <c r="EO11" s="281"/>
      <c r="EP11" s="281"/>
      <c r="EQ11" s="281"/>
      <c r="ER11" s="281"/>
      <c r="ES11" s="281"/>
      <c r="ET11" s="281"/>
      <c r="EU11" s="281"/>
      <c r="EV11" s="281"/>
      <c r="EW11" s="281"/>
      <c r="EX11" s="281"/>
      <c r="EY11" s="281"/>
      <c r="EZ11" s="281"/>
      <c r="FA11" s="281"/>
      <c r="FB11" s="281"/>
      <c r="FC11" s="281"/>
      <c r="FD11" s="281"/>
      <c r="FE11" s="281"/>
      <c r="FF11" s="281"/>
      <c r="FG11" s="281"/>
      <c r="FH11" s="281"/>
      <c r="FI11" s="281"/>
      <c r="FJ11" s="281"/>
      <c r="FK11" s="281"/>
      <c r="FL11" s="281"/>
      <c r="FM11" s="281"/>
      <c r="FN11" s="281"/>
      <c r="FO11" s="281"/>
      <c r="FP11" s="281"/>
      <c r="FQ11" s="281"/>
      <c r="FR11" s="281"/>
      <c r="FS11" s="281"/>
      <c r="FT11" s="281"/>
      <c r="FU11" s="281"/>
      <c r="FV11" s="281"/>
      <c r="FW11" s="281"/>
      <c r="FX11" s="281"/>
      <c r="FY11" s="281"/>
      <c r="FZ11" s="281"/>
      <c r="GA11" s="281"/>
      <c r="GB11" s="281"/>
      <c r="GC11" s="281"/>
      <c r="GD11" s="281"/>
      <c r="GE11" s="281"/>
      <c r="GF11" s="281"/>
      <c r="GG11" s="281"/>
      <c r="GH11" s="281"/>
      <c r="GI11" s="281"/>
      <c r="GJ11" s="281"/>
      <c r="GK11" s="281"/>
      <c r="GL11" s="281"/>
      <c r="GM11" s="281"/>
      <c r="GN11" s="281"/>
      <c r="GO11" s="281"/>
      <c r="GP11" s="281"/>
      <c r="GQ11" s="281"/>
      <c r="GR11" s="281"/>
      <c r="GS11" s="281"/>
      <c r="GT11" s="281"/>
      <c r="GU11" s="281"/>
      <c r="GV11" s="281"/>
      <c r="GW11" s="281"/>
      <c r="GX11" s="281"/>
      <c r="GY11" s="281"/>
      <c r="GZ11" s="281"/>
      <c r="HA11" s="281"/>
      <c r="HB11" s="281"/>
      <c r="HC11" s="281"/>
      <c r="HD11" s="281"/>
      <c r="HE11" s="281"/>
      <c r="HF11" s="281"/>
      <c r="HG11" s="281"/>
      <c r="HH11" s="281"/>
      <c r="HI11" s="281"/>
      <c r="HJ11" s="281"/>
      <c r="HK11" s="281"/>
      <c r="HL11" s="281"/>
      <c r="HM11" s="281"/>
      <c r="HN11" s="281"/>
      <c r="HO11" s="281"/>
      <c r="HP11" s="281"/>
      <c r="HQ11" s="281"/>
      <c r="HR11" s="281"/>
      <c r="HS11" s="281"/>
      <c r="HT11" s="281"/>
      <c r="HU11" s="281"/>
      <c r="HV11" s="281"/>
      <c r="HW11" s="281"/>
      <c r="HX11" s="281"/>
      <c r="HY11" s="281"/>
      <c r="HZ11" s="281"/>
      <c r="IA11" s="281"/>
      <c r="IB11" s="281"/>
      <c r="IC11" s="281"/>
      <c r="ID11" s="281"/>
      <c r="IE11" s="281"/>
      <c r="IF11" s="281"/>
      <c r="IG11" s="281"/>
      <c r="IH11" s="281"/>
      <c r="II11" s="281"/>
      <c r="IJ11" s="281"/>
      <c r="IK11" s="281"/>
      <c r="IL11" s="281"/>
      <c r="IM11" s="281"/>
      <c r="IN11" s="281"/>
      <c r="IO11" s="281"/>
      <c r="IP11" s="281"/>
      <c r="IQ11" s="281"/>
      <c r="IR11" s="281"/>
      <c r="IS11" s="281"/>
      <c r="IT11" s="281"/>
      <c r="IU11" s="282"/>
    </row>
    <row r="12" spans="1:255" ht="18" customHeight="1" x14ac:dyDescent="0.15">
      <c r="A12" s="6"/>
      <c r="B12" s="1696" t="s">
        <v>282</v>
      </c>
      <c r="C12" s="1684">
        <v>2.5500000000000002E-3</v>
      </c>
      <c r="D12" s="1685">
        <v>0.97068399999999999</v>
      </c>
      <c r="E12" s="1686">
        <v>0.99950000000000006</v>
      </c>
      <c r="F12" s="1687">
        <v>0.99950000000000006</v>
      </c>
      <c r="G12" s="1688">
        <v>1.522327</v>
      </c>
      <c r="H12" s="1689">
        <v>5.1955499999999999</v>
      </c>
      <c r="I12" s="1690">
        <v>9.5289920000000006</v>
      </c>
      <c r="J12" s="1691">
        <v>19.177890999999999</v>
      </c>
      <c r="K12" s="1692">
        <v>30.048182000000001</v>
      </c>
      <c r="L12" s="1693">
        <v>39.444000000000003</v>
      </c>
      <c r="M12" s="1698" t="s">
        <v>283</v>
      </c>
      <c r="N12" s="301"/>
      <c r="O12" s="281"/>
      <c r="P12" s="281"/>
      <c r="Q12" s="281"/>
      <c r="R12" s="281"/>
      <c r="S12" s="281"/>
      <c r="T12" s="281"/>
      <c r="U12" s="281"/>
      <c r="V12" s="281"/>
      <c r="W12" s="281"/>
      <c r="X12" s="281"/>
      <c r="Y12" s="281"/>
      <c r="Z12" s="281"/>
      <c r="AA12" s="281"/>
      <c r="AB12" s="281"/>
      <c r="AC12" s="281"/>
      <c r="AD12" s="281"/>
      <c r="AE12" s="281"/>
      <c r="AF12" s="281"/>
      <c r="AG12" s="281"/>
      <c r="AH12" s="281"/>
      <c r="AI12" s="281"/>
      <c r="AJ12" s="281"/>
      <c r="AK12" s="281"/>
      <c r="AL12" s="281"/>
      <c r="AM12" s="281"/>
      <c r="AN12" s="281"/>
      <c r="AO12" s="281"/>
      <c r="AP12" s="281"/>
      <c r="AQ12" s="281"/>
      <c r="AR12" s="281"/>
      <c r="AS12" s="281"/>
      <c r="AT12" s="281"/>
      <c r="AU12" s="281"/>
      <c r="AV12" s="281"/>
      <c r="AW12" s="281"/>
      <c r="AX12" s="281"/>
      <c r="AY12" s="281"/>
      <c r="AZ12" s="281"/>
      <c r="BA12" s="281"/>
      <c r="BB12" s="281"/>
      <c r="BC12" s="281"/>
      <c r="BD12" s="281"/>
      <c r="BE12" s="281"/>
      <c r="BF12" s="281"/>
      <c r="BG12" s="281"/>
      <c r="BH12" s="281"/>
      <c r="BI12" s="281"/>
      <c r="BJ12" s="281"/>
      <c r="BK12" s="281"/>
      <c r="BL12" s="281"/>
      <c r="BM12" s="281"/>
      <c r="BN12" s="281"/>
      <c r="BO12" s="281"/>
      <c r="BP12" s="281"/>
      <c r="BQ12" s="281"/>
      <c r="BR12" s="281"/>
      <c r="BS12" s="281"/>
      <c r="BT12" s="281"/>
      <c r="BU12" s="281"/>
      <c r="BV12" s="281"/>
      <c r="BW12" s="281"/>
      <c r="BX12" s="281"/>
      <c r="BY12" s="281"/>
      <c r="BZ12" s="281"/>
      <c r="CA12" s="281"/>
      <c r="CB12" s="281"/>
      <c r="CC12" s="281"/>
      <c r="CD12" s="281"/>
      <c r="CE12" s="281"/>
      <c r="CF12" s="281"/>
      <c r="CG12" s="281"/>
      <c r="CH12" s="281"/>
      <c r="CI12" s="281"/>
      <c r="CJ12" s="281"/>
      <c r="CK12" s="281"/>
      <c r="CL12" s="281"/>
      <c r="CM12" s="281"/>
      <c r="CN12" s="281"/>
      <c r="CO12" s="281"/>
      <c r="CP12" s="281"/>
      <c r="CQ12" s="281"/>
      <c r="CR12" s="281"/>
      <c r="CS12" s="281"/>
      <c r="CT12" s="281"/>
      <c r="CU12" s="281"/>
      <c r="CV12" s="281"/>
      <c r="CW12" s="281"/>
      <c r="CX12" s="281"/>
      <c r="CY12" s="281"/>
      <c r="CZ12" s="281"/>
      <c r="DA12" s="281"/>
      <c r="DB12" s="281"/>
      <c r="DC12" s="281"/>
      <c r="DD12" s="281"/>
      <c r="DE12" s="281"/>
      <c r="DF12" s="281"/>
      <c r="DG12" s="281"/>
      <c r="DH12" s="281"/>
      <c r="DI12" s="281"/>
      <c r="DJ12" s="281"/>
      <c r="DK12" s="281"/>
      <c r="DL12" s="281"/>
      <c r="DM12" s="281"/>
      <c r="DN12" s="281"/>
      <c r="DO12" s="281"/>
      <c r="DP12" s="281"/>
      <c r="DQ12" s="281"/>
      <c r="DR12" s="281"/>
      <c r="DS12" s="281"/>
      <c r="DT12" s="281"/>
      <c r="DU12" s="281"/>
      <c r="DV12" s="281"/>
      <c r="DW12" s="281"/>
      <c r="DX12" s="281"/>
      <c r="DY12" s="281"/>
      <c r="DZ12" s="281"/>
      <c r="EA12" s="281"/>
      <c r="EB12" s="281"/>
      <c r="EC12" s="281"/>
      <c r="ED12" s="281"/>
      <c r="EE12" s="281"/>
      <c r="EF12" s="281"/>
      <c r="EG12" s="281"/>
      <c r="EH12" s="281"/>
      <c r="EI12" s="281"/>
      <c r="EJ12" s="281"/>
      <c r="EK12" s="281"/>
      <c r="EL12" s="281"/>
      <c r="EM12" s="281"/>
      <c r="EN12" s="281"/>
      <c r="EO12" s="281"/>
      <c r="EP12" s="281"/>
      <c r="EQ12" s="281"/>
      <c r="ER12" s="281"/>
      <c r="ES12" s="281"/>
      <c r="ET12" s="281"/>
      <c r="EU12" s="281"/>
      <c r="EV12" s="281"/>
      <c r="EW12" s="281"/>
      <c r="EX12" s="281"/>
      <c r="EY12" s="281"/>
      <c r="EZ12" s="281"/>
      <c r="FA12" s="281"/>
      <c r="FB12" s="281"/>
      <c r="FC12" s="281"/>
      <c r="FD12" s="281"/>
      <c r="FE12" s="281"/>
      <c r="FF12" s="281"/>
      <c r="FG12" s="281"/>
      <c r="FH12" s="281"/>
      <c r="FI12" s="281"/>
      <c r="FJ12" s="281"/>
      <c r="FK12" s="281"/>
      <c r="FL12" s="281"/>
      <c r="FM12" s="281"/>
      <c r="FN12" s="281"/>
      <c r="FO12" s="281"/>
      <c r="FP12" s="281"/>
      <c r="FQ12" s="281"/>
      <c r="FR12" s="281"/>
      <c r="FS12" s="281"/>
      <c r="FT12" s="281"/>
      <c r="FU12" s="281"/>
      <c r="FV12" s="281"/>
      <c r="FW12" s="281"/>
      <c r="FX12" s="281"/>
      <c r="FY12" s="281"/>
      <c r="FZ12" s="281"/>
      <c r="GA12" s="281"/>
      <c r="GB12" s="281"/>
      <c r="GC12" s="281"/>
      <c r="GD12" s="281"/>
      <c r="GE12" s="281"/>
      <c r="GF12" s="281"/>
      <c r="GG12" s="281"/>
      <c r="GH12" s="281"/>
      <c r="GI12" s="281"/>
      <c r="GJ12" s="281"/>
      <c r="GK12" s="281"/>
      <c r="GL12" s="281"/>
      <c r="GM12" s="281"/>
      <c r="GN12" s="281"/>
      <c r="GO12" s="281"/>
      <c r="GP12" s="281"/>
      <c r="GQ12" s="281"/>
      <c r="GR12" s="281"/>
      <c r="GS12" s="281"/>
      <c r="GT12" s="281"/>
      <c r="GU12" s="281"/>
      <c r="GV12" s="281"/>
      <c r="GW12" s="281"/>
      <c r="GX12" s="281"/>
      <c r="GY12" s="281"/>
      <c r="GZ12" s="281"/>
      <c r="HA12" s="281"/>
      <c r="HB12" s="281"/>
      <c r="HC12" s="281"/>
      <c r="HD12" s="281"/>
      <c r="HE12" s="281"/>
      <c r="HF12" s="281"/>
      <c r="HG12" s="281"/>
      <c r="HH12" s="281"/>
      <c r="HI12" s="281"/>
      <c r="HJ12" s="281"/>
      <c r="HK12" s="281"/>
      <c r="HL12" s="281"/>
      <c r="HM12" s="281"/>
      <c r="HN12" s="281"/>
      <c r="HO12" s="281"/>
      <c r="HP12" s="281"/>
      <c r="HQ12" s="281"/>
      <c r="HR12" s="281"/>
      <c r="HS12" s="281"/>
      <c r="HT12" s="281"/>
      <c r="HU12" s="281"/>
      <c r="HV12" s="281"/>
      <c r="HW12" s="281"/>
      <c r="HX12" s="281"/>
      <c r="HY12" s="281"/>
      <c r="HZ12" s="281"/>
      <c r="IA12" s="281"/>
      <c r="IB12" s="281"/>
      <c r="IC12" s="281"/>
      <c r="ID12" s="281"/>
      <c r="IE12" s="281"/>
      <c r="IF12" s="281"/>
      <c r="IG12" s="281"/>
      <c r="IH12" s="281"/>
      <c r="II12" s="281"/>
      <c r="IJ12" s="281"/>
      <c r="IK12" s="281"/>
      <c r="IL12" s="281"/>
      <c r="IM12" s="281"/>
      <c r="IN12" s="281"/>
      <c r="IO12" s="281"/>
      <c r="IP12" s="281"/>
      <c r="IQ12" s="281"/>
      <c r="IR12" s="281"/>
      <c r="IS12" s="281"/>
      <c r="IT12" s="281"/>
      <c r="IU12" s="282"/>
    </row>
    <row r="13" spans="1:255" ht="18" customHeight="1" x14ac:dyDescent="0.15">
      <c r="A13" s="6"/>
      <c r="B13" s="1695" t="s">
        <v>284</v>
      </c>
      <c r="C13" s="1684">
        <v>2.3E-3</v>
      </c>
      <c r="D13" s="1685">
        <v>0.514158</v>
      </c>
      <c r="E13" s="1686">
        <v>0.25707000000000002</v>
      </c>
      <c r="F13" s="1687">
        <v>0.98099999999999998</v>
      </c>
      <c r="G13" s="1688">
        <v>0.36064000000000002</v>
      </c>
      <c r="H13" s="1689">
        <v>3.919</v>
      </c>
      <c r="I13" s="1690">
        <v>7.95</v>
      </c>
      <c r="J13" s="1691">
        <v>17.228995999999999</v>
      </c>
      <c r="K13" s="1692">
        <v>28.696971000000001</v>
      </c>
      <c r="L13" s="1693">
        <v>28.501999999999999</v>
      </c>
      <c r="M13" s="1698" t="s">
        <v>284</v>
      </c>
      <c r="N13" s="30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81"/>
      <c r="AL13" s="281"/>
      <c r="AM13" s="281"/>
      <c r="AN13" s="281"/>
      <c r="AO13" s="281"/>
      <c r="AP13" s="281"/>
      <c r="AQ13" s="281"/>
      <c r="AR13" s="281"/>
      <c r="AS13" s="281"/>
      <c r="AT13" s="281"/>
      <c r="AU13" s="281"/>
      <c r="AV13" s="281"/>
      <c r="AW13" s="281"/>
      <c r="AX13" s="281"/>
      <c r="AY13" s="281"/>
      <c r="AZ13" s="281"/>
      <c r="BA13" s="281"/>
      <c r="BB13" s="281"/>
      <c r="BC13" s="281"/>
      <c r="BD13" s="281"/>
      <c r="BE13" s="281"/>
      <c r="BF13" s="281"/>
      <c r="BG13" s="281"/>
      <c r="BH13" s="281"/>
      <c r="BI13" s="281"/>
      <c r="BJ13" s="281"/>
      <c r="BK13" s="281"/>
      <c r="BL13" s="281"/>
      <c r="BM13" s="281"/>
      <c r="BN13" s="281"/>
      <c r="BO13" s="281"/>
      <c r="BP13" s="281"/>
      <c r="BQ13" s="281"/>
      <c r="BR13" s="281"/>
      <c r="BS13" s="281"/>
      <c r="BT13" s="281"/>
      <c r="BU13" s="281"/>
      <c r="BV13" s="281"/>
      <c r="BW13" s="281"/>
      <c r="BX13" s="281"/>
      <c r="BY13" s="281"/>
      <c r="BZ13" s="281"/>
      <c r="CA13" s="281"/>
      <c r="CB13" s="281"/>
      <c r="CC13" s="281"/>
      <c r="CD13" s="281"/>
      <c r="CE13" s="281"/>
      <c r="CF13" s="281"/>
      <c r="CG13" s="281"/>
      <c r="CH13" s="281"/>
      <c r="CI13" s="281"/>
      <c r="CJ13" s="281"/>
      <c r="CK13" s="281"/>
      <c r="CL13" s="281"/>
      <c r="CM13" s="281"/>
      <c r="CN13" s="281"/>
      <c r="CO13" s="281"/>
      <c r="CP13" s="281"/>
      <c r="CQ13" s="281"/>
      <c r="CR13" s="281"/>
      <c r="CS13" s="281"/>
      <c r="CT13" s="281"/>
      <c r="CU13" s="281"/>
      <c r="CV13" s="281"/>
      <c r="CW13" s="281"/>
      <c r="CX13" s="281"/>
      <c r="CY13" s="281"/>
      <c r="CZ13" s="281"/>
      <c r="DA13" s="281"/>
      <c r="DB13" s="281"/>
      <c r="DC13" s="281"/>
      <c r="DD13" s="281"/>
      <c r="DE13" s="281"/>
      <c r="DF13" s="281"/>
      <c r="DG13" s="281"/>
      <c r="DH13" s="281"/>
      <c r="DI13" s="281"/>
      <c r="DJ13" s="281"/>
      <c r="DK13" s="281"/>
      <c r="DL13" s="281"/>
      <c r="DM13" s="281"/>
      <c r="DN13" s="281"/>
      <c r="DO13" s="281"/>
      <c r="DP13" s="281"/>
      <c r="DQ13" s="281"/>
      <c r="DR13" s="281"/>
      <c r="DS13" s="281"/>
      <c r="DT13" s="281"/>
      <c r="DU13" s="281"/>
      <c r="DV13" s="281"/>
      <c r="DW13" s="281"/>
      <c r="DX13" s="281"/>
      <c r="DY13" s="281"/>
      <c r="DZ13" s="281"/>
      <c r="EA13" s="281"/>
      <c r="EB13" s="281"/>
      <c r="EC13" s="281"/>
      <c r="ED13" s="281"/>
      <c r="EE13" s="281"/>
      <c r="EF13" s="281"/>
      <c r="EG13" s="281"/>
      <c r="EH13" s="281"/>
      <c r="EI13" s="281"/>
      <c r="EJ13" s="281"/>
      <c r="EK13" s="281"/>
      <c r="EL13" s="281"/>
      <c r="EM13" s="281"/>
      <c r="EN13" s="281"/>
      <c r="EO13" s="281"/>
      <c r="EP13" s="281"/>
      <c r="EQ13" s="281"/>
      <c r="ER13" s="281"/>
      <c r="ES13" s="281"/>
      <c r="ET13" s="281"/>
      <c r="EU13" s="281"/>
      <c r="EV13" s="281"/>
      <c r="EW13" s="281"/>
      <c r="EX13" s="281"/>
      <c r="EY13" s="281"/>
      <c r="EZ13" s="281"/>
      <c r="FA13" s="281"/>
      <c r="FB13" s="281"/>
      <c r="FC13" s="281"/>
      <c r="FD13" s="281"/>
      <c r="FE13" s="281"/>
      <c r="FF13" s="281"/>
      <c r="FG13" s="281"/>
      <c r="FH13" s="281"/>
      <c r="FI13" s="281"/>
      <c r="FJ13" s="281"/>
      <c r="FK13" s="281"/>
      <c r="FL13" s="281"/>
      <c r="FM13" s="281"/>
      <c r="FN13" s="281"/>
      <c r="FO13" s="281"/>
      <c r="FP13" s="281"/>
      <c r="FQ13" s="281"/>
      <c r="FR13" s="281"/>
      <c r="FS13" s="281"/>
      <c r="FT13" s="281"/>
      <c r="FU13" s="281"/>
      <c r="FV13" s="281"/>
      <c r="FW13" s="281"/>
      <c r="FX13" s="281"/>
      <c r="FY13" s="281"/>
      <c r="FZ13" s="281"/>
      <c r="GA13" s="281"/>
      <c r="GB13" s="281"/>
      <c r="GC13" s="281"/>
      <c r="GD13" s="281"/>
      <c r="GE13" s="281"/>
      <c r="GF13" s="281"/>
      <c r="GG13" s="281"/>
      <c r="GH13" s="281"/>
      <c r="GI13" s="281"/>
      <c r="GJ13" s="281"/>
      <c r="GK13" s="281"/>
      <c r="GL13" s="281"/>
      <c r="GM13" s="281"/>
      <c r="GN13" s="281"/>
      <c r="GO13" s="281"/>
      <c r="GP13" s="281"/>
      <c r="GQ13" s="281"/>
      <c r="GR13" s="281"/>
      <c r="GS13" s="281"/>
      <c r="GT13" s="281"/>
      <c r="GU13" s="281"/>
      <c r="GV13" s="281"/>
      <c r="GW13" s="281"/>
      <c r="GX13" s="281"/>
      <c r="GY13" s="281"/>
      <c r="GZ13" s="281"/>
      <c r="HA13" s="281"/>
      <c r="HB13" s="281"/>
      <c r="HC13" s="281"/>
      <c r="HD13" s="281"/>
      <c r="HE13" s="281"/>
      <c r="HF13" s="281"/>
      <c r="HG13" s="281"/>
      <c r="HH13" s="281"/>
      <c r="HI13" s="281"/>
      <c r="HJ13" s="281"/>
      <c r="HK13" s="281"/>
      <c r="HL13" s="281"/>
      <c r="HM13" s="281"/>
      <c r="HN13" s="281"/>
      <c r="HO13" s="281"/>
      <c r="HP13" s="281"/>
      <c r="HQ13" s="281"/>
      <c r="HR13" s="281"/>
      <c r="HS13" s="281"/>
      <c r="HT13" s="281"/>
      <c r="HU13" s="281"/>
      <c r="HV13" s="281"/>
      <c r="HW13" s="281"/>
      <c r="HX13" s="281"/>
      <c r="HY13" s="281"/>
      <c r="HZ13" s="281"/>
      <c r="IA13" s="281"/>
      <c r="IB13" s="281"/>
      <c r="IC13" s="281"/>
      <c r="ID13" s="281"/>
      <c r="IE13" s="281"/>
      <c r="IF13" s="281"/>
      <c r="IG13" s="281"/>
      <c r="IH13" s="281"/>
      <c r="II13" s="281"/>
      <c r="IJ13" s="281"/>
      <c r="IK13" s="281"/>
      <c r="IL13" s="281"/>
      <c r="IM13" s="281"/>
      <c r="IN13" s="281"/>
      <c r="IO13" s="281"/>
      <c r="IP13" s="281"/>
      <c r="IQ13" s="281"/>
      <c r="IR13" s="281"/>
      <c r="IS13" s="281"/>
      <c r="IT13" s="281"/>
      <c r="IU13" s="282"/>
    </row>
    <row r="14" spans="1:255" ht="18" customHeight="1" x14ac:dyDescent="0.15">
      <c r="A14" s="6"/>
      <c r="B14" s="1671" t="s">
        <v>285</v>
      </c>
      <c r="C14" s="1661">
        <f>Données!G30</f>
        <v>2.578593021E-3</v>
      </c>
      <c r="D14" s="1631">
        <f>Données!G31</f>
        <v>0.67331924911600005</v>
      </c>
      <c r="E14" s="1657">
        <f>Données!G19</f>
        <v>1.5989878965819999</v>
      </c>
      <c r="F14" s="1647">
        <f>Données!G20</f>
        <v>0.99137293665299997</v>
      </c>
      <c r="G14" s="1648">
        <f>Données!G21</f>
        <v>2.4496501080840001</v>
      </c>
      <c r="H14" s="1632">
        <f>Données!G35</f>
        <v>6.4056374252659998</v>
      </c>
      <c r="I14" s="1633">
        <f>Données!G36</f>
        <v>9.5599089635149994</v>
      </c>
      <c r="J14" s="1634">
        <f>Données!G37</f>
        <v>20.008052406889998</v>
      </c>
      <c r="K14" s="1653">
        <f>Données!G38</f>
        <v>30.575522948659</v>
      </c>
      <c r="L14" s="1654">
        <f>Données!G26</f>
        <v>30.695166318175001</v>
      </c>
      <c r="M14" s="827" t="s">
        <v>285</v>
      </c>
      <c r="N14" s="30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1"/>
      <c r="AV14" s="281"/>
      <c r="AW14" s="281"/>
      <c r="AX14" s="281"/>
      <c r="AY14" s="281"/>
      <c r="AZ14" s="281"/>
      <c r="BA14" s="281"/>
      <c r="BB14" s="281"/>
      <c r="BC14" s="281"/>
      <c r="BD14" s="281"/>
      <c r="BE14" s="281"/>
      <c r="BF14" s="281"/>
      <c r="BG14" s="281"/>
      <c r="BH14" s="281"/>
      <c r="BI14" s="281"/>
      <c r="BJ14" s="281"/>
      <c r="BK14" s="281"/>
      <c r="BL14" s="281"/>
      <c r="BM14" s="281"/>
      <c r="BN14" s="281"/>
      <c r="BO14" s="281"/>
      <c r="BP14" s="281"/>
      <c r="BQ14" s="281"/>
      <c r="BR14" s="281"/>
      <c r="BS14" s="281"/>
      <c r="BT14" s="281"/>
      <c r="BU14" s="281"/>
      <c r="BV14" s="281"/>
      <c r="BW14" s="281"/>
      <c r="BX14" s="281"/>
      <c r="BY14" s="281"/>
      <c r="BZ14" s="281"/>
      <c r="CA14" s="281"/>
      <c r="CB14" s="281"/>
      <c r="CC14" s="281"/>
      <c r="CD14" s="281"/>
      <c r="CE14" s="281"/>
      <c r="CF14" s="281"/>
      <c r="CG14" s="281"/>
      <c r="CH14" s="281"/>
      <c r="CI14" s="281"/>
      <c r="CJ14" s="281"/>
      <c r="CK14" s="281"/>
      <c r="CL14" s="281"/>
      <c r="CM14" s="281"/>
      <c r="CN14" s="281"/>
      <c r="CO14" s="281"/>
      <c r="CP14" s="281"/>
      <c r="CQ14" s="281"/>
      <c r="CR14" s="281"/>
      <c r="CS14" s="281"/>
      <c r="CT14" s="281"/>
      <c r="CU14" s="281"/>
      <c r="CV14" s="281"/>
      <c r="CW14" s="281"/>
      <c r="CX14" s="281"/>
      <c r="CY14" s="281"/>
      <c r="CZ14" s="281"/>
      <c r="DA14" s="281"/>
      <c r="DB14" s="281"/>
      <c r="DC14" s="281"/>
      <c r="DD14" s="281"/>
      <c r="DE14" s="281"/>
      <c r="DF14" s="281"/>
      <c r="DG14" s="281"/>
      <c r="DH14" s="281"/>
      <c r="DI14" s="281"/>
      <c r="DJ14" s="281"/>
      <c r="DK14" s="281"/>
      <c r="DL14" s="281"/>
      <c r="DM14" s="281"/>
      <c r="DN14" s="281"/>
      <c r="DO14" s="281"/>
      <c r="DP14" s="281"/>
      <c r="DQ14" s="281"/>
      <c r="DR14" s="281"/>
      <c r="DS14" s="281"/>
      <c r="DT14" s="281"/>
      <c r="DU14" s="281"/>
      <c r="DV14" s="281"/>
      <c r="DW14" s="281"/>
      <c r="DX14" s="281"/>
      <c r="DY14" s="281"/>
      <c r="DZ14" s="281"/>
      <c r="EA14" s="281"/>
      <c r="EB14" s="281"/>
      <c r="EC14" s="281"/>
      <c r="ED14" s="281"/>
      <c r="EE14" s="281"/>
      <c r="EF14" s="281"/>
      <c r="EG14" s="281"/>
      <c r="EH14" s="281"/>
      <c r="EI14" s="281"/>
      <c r="EJ14" s="281"/>
      <c r="EK14" s="281"/>
      <c r="EL14" s="281"/>
      <c r="EM14" s="281"/>
      <c r="EN14" s="281"/>
      <c r="EO14" s="281"/>
      <c r="EP14" s="281"/>
      <c r="EQ14" s="281"/>
      <c r="ER14" s="281"/>
      <c r="ES14" s="281"/>
      <c r="ET14" s="281"/>
      <c r="EU14" s="281"/>
      <c r="EV14" s="281"/>
      <c r="EW14" s="281"/>
      <c r="EX14" s="281"/>
      <c r="EY14" s="281"/>
      <c r="EZ14" s="281"/>
      <c r="FA14" s="281"/>
      <c r="FB14" s="281"/>
      <c r="FC14" s="281"/>
      <c r="FD14" s="281"/>
      <c r="FE14" s="281"/>
      <c r="FF14" s="281"/>
      <c r="FG14" s="281"/>
      <c r="FH14" s="281"/>
      <c r="FI14" s="281"/>
      <c r="FJ14" s="281"/>
      <c r="FK14" s="281"/>
      <c r="FL14" s="281"/>
      <c r="FM14" s="281"/>
      <c r="FN14" s="281"/>
      <c r="FO14" s="281"/>
      <c r="FP14" s="281"/>
      <c r="FQ14" s="281"/>
      <c r="FR14" s="281"/>
      <c r="FS14" s="281"/>
      <c r="FT14" s="281"/>
      <c r="FU14" s="281"/>
      <c r="FV14" s="281"/>
      <c r="FW14" s="281"/>
      <c r="FX14" s="281"/>
      <c r="FY14" s="281"/>
      <c r="FZ14" s="281"/>
      <c r="GA14" s="281"/>
      <c r="GB14" s="281"/>
      <c r="GC14" s="281"/>
      <c r="GD14" s="281"/>
      <c r="GE14" s="281"/>
      <c r="GF14" s="281"/>
      <c r="GG14" s="281"/>
      <c r="GH14" s="281"/>
      <c r="GI14" s="281"/>
      <c r="GJ14" s="281"/>
      <c r="GK14" s="281"/>
      <c r="GL14" s="281"/>
      <c r="GM14" s="281"/>
      <c r="GN14" s="281"/>
      <c r="GO14" s="281"/>
      <c r="GP14" s="281"/>
      <c r="GQ14" s="281"/>
      <c r="GR14" s="281"/>
      <c r="GS14" s="281"/>
      <c r="GT14" s="281"/>
      <c r="GU14" s="281"/>
      <c r="GV14" s="281"/>
      <c r="GW14" s="281"/>
      <c r="GX14" s="281"/>
      <c r="GY14" s="281"/>
      <c r="GZ14" s="281"/>
      <c r="HA14" s="281"/>
      <c r="HB14" s="281"/>
      <c r="HC14" s="281"/>
      <c r="HD14" s="281"/>
      <c r="HE14" s="281"/>
      <c r="HF14" s="281"/>
      <c r="HG14" s="281"/>
      <c r="HH14" s="281"/>
      <c r="HI14" s="281"/>
      <c r="HJ14" s="281"/>
      <c r="HK14" s="281"/>
      <c r="HL14" s="281"/>
      <c r="HM14" s="281"/>
      <c r="HN14" s="281"/>
      <c r="HO14" s="281"/>
      <c r="HP14" s="281"/>
      <c r="HQ14" s="281"/>
      <c r="HR14" s="281"/>
      <c r="HS14" s="281"/>
      <c r="HT14" s="281"/>
      <c r="HU14" s="281"/>
      <c r="HV14" s="281"/>
      <c r="HW14" s="281"/>
      <c r="HX14" s="281"/>
      <c r="HY14" s="281"/>
      <c r="HZ14" s="281"/>
      <c r="IA14" s="281"/>
      <c r="IB14" s="281"/>
      <c r="IC14" s="281"/>
      <c r="ID14" s="281"/>
      <c r="IE14" s="281"/>
      <c r="IF14" s="281"/>
      <c r="IG14" s="281"/>
      <c r="IH14" s="281"/>
      <c r="II14" s="281"/>
      <c r="IJ14" s="281"/>
      <c r="IK14" s="281"/>
      <c r="IL14" s="281"/>
      <c r="IM14" s="281"/>
      <c r="IN14" s="281"/>
      <c r="IO14" s="281"/>
      <c r="IP14" s="281"/>
      <c r="IQ14" s="281"/>
      <c r="IR14" s="281"/>
      <c r="IS14" s="281"/>
      <c r="IT14" s="281"/>
      <c r="IU14" s="282"/>
    </row>
    <row r="15" spans="1:255" ht="18" customHeight="1" x14ac:dyDescent="0.15">
      <c r="A15" s="6"/>
      <c r="B15" s="935" t="s">
        <v>286</v>
      </c>
      <c r="C15" s="1662">
        <f>Données!H30</f>
        <v>2.5480727690000001E-3</v>
      </c>
      <c r="D15" s="1635">
        <f>Données!H31</f>
        <v>0.675486180514</v>
      </c>
      <c r="E15" s="1667">
        <f>Données!H32</f>
        <v>1.6020612870549999</v>
      </c>
      <c r="F15" s="1668">
        <f>Données!H33</f>
        <v>0.99113270101600004</v>
      </c>
      <c r="G15" s="1637">
        <f>Données!H34</f>
        <v>2.450115016671</v>
      </c>
      <c r="H15" s="1638">
        <f>Données!H35</f>
        <v>6.4013402316920001</v>
      </c>
      <c r="I15" s="1639">
        <f>Données!H36</f>
        <v>9.5762349930700008</v>
      </c>
      <c r="J15" s="1669">
        <f>Données!H37</f>
        <v>20.023713882890998</v>
      </c>
      <c r="K15" s="1670">
        <f>Données!H38</f>
        <v>30.591066454444999</v>
      </c>
      <c r="L15" s="1644">
        <f>Données!H26</f>
        <v>30.698397339433999</v>
      </c>
      <c r="M15" s="844" t="s">
        <v>286</v>
      </c>
      <c r="N15" s="30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281"/>
      <c r="BH15" s="281"/>
      <c r="BI15" s="281"/>
      <c r="BJ15" s="281"/>
      <c r="BK15" s="281"/>
      <c r="BL15" s="281"/>
      <c r="BM15" s="281"/>
      <c r="BN15" s="281"/>
      <c r="BO15" s="281"/>
      <c r="BP15" s="281"/>
      <c r="BQ15" s="281"/>
      <c r="BR15" s="281"/>
      <c r="BS15" s="281"/>
      <c r="BT15" s="281"/>
      <c r="BU15" s="281"/>
      <c r="BV15" s="281"/>
      <c r="BW15" s="281"/>
      <c r="BX15" s="281"/>
      <c r="BY15" s="281"/>
      <c r="BZ15" s="281"/>
      <c r="CA15" s="281"/>
      <c r="CB15" s="281"/>
      <c r="CC15" s="281"/>
      <c r="CD15" s="281"/>
      <c r="CE15" s="281"/>
      <c r="CF15" s="281"/>
      <c r="CG15" s="281"/>
      <c r="CH15" s="281"/>
      <c r="CI15" s="281"/>
      <c r="CJ15" s="281"/>
      <c r="CK15" s="281"/>
      <c r="CL15" s="281"/>
      <c r="CM15" s="281"/>
      <c r="CN15" s="281"/>
      <c r="CO15" s="281"/>
      <c r="CP15" s="281"/>
      <c r="CQ15" s="281"/>
      <c r="CR15" s="281"/>
      <c r="CS15" s="281"/>
      <c r="CT15" s="281"/>
      <c r="CU15" s="281"/>
      <c r="CV15" s="281"/>
      <c r="CW15" s="281"/>
      <c r="CX15" s="281"/>
      <c r="CY15" s="281"/>
      <c r="CZ15" s="281"/>
      <c r="DA15" s="281"/>
      <c r="DB15" s="281"/>
      <c r="DC15" s="281"/>
      <c r="DD15" s="281"/>
      <c r="DE15" s="281"/>
      <c r="DF15" s="281"/>
      <c r="DG15" s="281"/>
      <c r="DH15" s="281"/>
      <c r="DI15" s="281"/>
      <c r="DJ15" s="281"/>
      <c r="DK15" s="281"/>
      <c r="DL15" s="281"/>
      <c r="DM15" s="281"/>
      <c r="DN15" s="281"/>
      <c r="DO15" s="281"/>
      <c r="DP15" s="281"/>
      <c r="DQ15" s="281"/>
      <c r="DR15" s="281"/>
      <c r="DS15" s="281"/>
      <c r="DT15" s="281"/>
      <c r="DU15" s="281"/>
      <c r="DV15" s="281"/>
      <c r="DW15" s="281"/>
      <c r="DX15" s="281"/>
      <c r="DY15" s="281"/>
      <c r="DZ15" s="281"/>
      <c r="EA15" s="281"/>
      <c r="EB15" s="281"/>
      <c r="EC15" s="281"/>
      <c r="ED15" s="281"/>
      <c r="EE15" s="281"/>
      <c r="EF15" s="281"/>
      <c r="EG15" s="281"/>
      <c r="EH15" s="281"/>
      <c r="EI15" s="281"/>
      <c r="EJ15" s="281"/>
      <c r="EK15" s="281"/>
      <c r="EL15" s="281"/>
      <c r="EM15" s="281"/>
      <c r="EN15" s="281"/>
      <c r="EO15" s="281"/>
      <c r="EP15" s="281"/>
      <c r="EQ15" s="281"/>
      <c r="ER15" s="281"/>
      <c r="ES15" s="281"/>
      <c r="ET15" s="281"/>
      <c r="EU15" s="281"/>
      <c r="EV15" s="281"/>
      <c r="EW15" s="281"/>
      <c r="EX15" s="281"/>
      <c r="EY15" s="281"/>
      <c r="EZ15" s="281"/>
      <c r="FA15" s="281"/>
      <c r="FB15" s="281"/>
      <c r="FC15" s="281"/>
      <c r="FD15" s="281"/>
      <c r="FE15" s="281"/>
      <c r="FF15" s="281"/>
      <c r="FG15" s="281"/>
      <c r="FH15" s="281"/>
      <c r="FI15" s="281"/>
      <c r="FJ15" s="281"/>
      <c r="FK15" s="281"/>
      <c r="FL15" s="281"/>
      <c r="FM15" s="281"/>
      <c r="FN15" s="281"/>
      <c r="FO15" s="281"/>
      <c r="FP15" s="281"/>
      <c r="FQ15" s="281"/>
      <c r="FR15" s="281"/>
      <c r="FS15" s="281"/>
      <c r="FT15" s="281"/>
      <c r="FU15" s="281"/>
      <c r="FV15" s="281"/>
      <c r="FW15" s="281"/>
      <c r="FX15" s="281"/>
      <c r="FY15" s="281"/>
      <c r="FZ15" s="281"/>
      <c r="GA15" s="281"/>
      <c r="GB15" s="281"/>
      <c r="GC15" s="281"/>
      <c r="GD15" s="281"/>
      <c r="GE15" s="281"/>
      <c r="GF15" s="281"/>
      <c r="GG15" s="281"/>
      <c r="GH15" s="281"/>
      <c r="GI15" s="281"/>
      <c r="GJ15" s="281"/>
      <c r="GK15" s="281"/>
      <c r="GL15" s="281"/>
      <c r="GM15" s="281"/>
      <c r="GN15" s="281"/>
      <c r="GO15" s="281"/>
      <c r="GP15" s="281"/>
      <c r="GQ15" s="281"/>
      <c r="GR15" s="281"/>
      <c r="GS15" s="281"/>
      <c r="GT15" s="281"/>
      <c r="GU15" s="281"/>
      <c r="GV15" s="281"/>
      <c r="GW15" s="281"/>
      <c r="GX15" s="281"/>
      <c r="GY15" s="281"/>
      <c r="GZ15" s="281"/>
      <c r="HA15" s="281"/>
      <c r="HB15" s="281"/>
      <c r="HC15" s="281"/>
      <c r="HD15" s="281"/>
      <c r="HE15" s="281"/>
      <c r="HF15" s="281"/>
      <c r="HG15" s="281"/>
      <c r="HH15" s="281"/>
      <c r="HI15" s="281"/>
      <c r="HJ15" s="281"/>
      <c r="HK15" s="281"/>
      <c r="HL15" s="281"/>
      <c r="HM15" s="281"/>
      <c r="HN15" s="281"/>
      <c r="HO15" s="281"/>
      <c r="HP15" s="281"/>
      <c r="HQ15" s="281"/>
      <c r="HR15" s="281"/>
      <c r="HS15" s="281"/>
      <c r="HT15" s="281"/>
      <c r="HU15" s="281"/>
      <c r="HV15" s="281"/>
      <c r="HW15" s="281"/>
      <c r="HX15" s="281"/>
      <c r="HY15" s="281"/>
      <c r="HZ15" s="281"/>
      <c r="IA15" s="281"/>
      <c r="IB15" s="281"/>
      <c r="IC15" s="281"/>
      <c r="ID15" s="281"/>
      <c r="IE15" s="281"/>
      <c r="IF15" s="281"/>
      <c r="IG15" s="281"/>
      <c r="IH15" s="281"/>
      <c r="II15" s="281"/>
      <c r="IJ15" s="281"/>
      <c r="IK15" s="281"/>
      <c r="IL15" s="281"/>
      <c r="IM15" s="281"/>
      <c r="IN15" s="281"/>
      <c r="IO15" s="281"/>
      <c r="IP15" s="281"/>
      <c r="IQ15" s="281"/>
      <c r="IR15" s="281"/>
      <c r="IS15" s="281"/>
      <c r="IT15" s="281"/>
      <c r="IU15" s="282"/>
    </row>
    <row r="16" spans="1:255" ht="18" customHeight="1" x14ac:dyDescent="0.15">
      <c r="A16" s="6"/>
      <c r="B16" s="935" t="s">
        <v>268</v>
      </c>
      <c r="C16" s="1370">
        <f>$C3/$C15^2</f>
        <v>1540.1972611302065</v>
      </c>
      <c r="D16" s="1383">
        <f>$D3/$D15^2</f>
        <v>0.13149774749048837</v>
      </c>
      <c r="E16" s="1384">
        <f>$E3/$E15^2</f>
        <v>0.3194887721476517</v>
      </c>
      <c r="F16" s="1641">
        <f>$F3/$F15^2</f>
        <v>335931.19068097876</v>
      </c>
      <c r="G16" s="1368">
        <f>$G3/$G15^2</f>
        <v>1.8323977126137002E-2</v>
      </c>
      <c r="H16" s="1385">
        <f>$H3/$H15^2</f>
        <v>7.7577368739193702</v>
      </c>
      <c r="I16" s="1642">
        <f>$I3/$I15^2</f>
        <v>1.037792385310583</v>
      </c>
      <c r="J16" s="1643">
        <f>$J3/$J15^2</f>
        <v>3.6313834745000599E-2</v>
      </c>
      <c r="K16" s="1388">
        <f>$K3/$K15^2</f>
        <v>1.8422477151644075E-2</v>
      </c>
      <c r="L16" s="1416">
        <f>$L3/$L15^2</f>
        <v>2.7589380064298112E-6</v>
      </c>
      <c r="M16" s="844" t="s">
        <v>268</v>
      </c>
      <c r="N16" s="30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  <c r="AT16" s="281"/>
      <c r="AU16" s="281"/>
      <c r="AV16" s="281"/>
      <c r="AW16" s="281"/>
      <c r="AX16" s="281"/>
      <c r="AY16" s="281"/>
      <c r="AZ16" s="281"/>
      <c r="BA16" s="281"/>
      <c r="BB16" s="281"/>
      <c r="BC16" s="281"/>
      <c r="BD16" s="281"/>
      <c r="BE16" s="281"/>
      <c r="BF16" s="281"/>
      <c r="BG16" s="281"/>
      <c r="BH16" s="281"/>
      <c r="BI16" s="281"/>
      <c r="BJ16" s="281"/>
      <c r="BK16" s="281"/>
      <c r="BL16" s="281"/>
      <c r="BM16" s="281"/>
      <c r="BN16" s="281"/>
      <c r="BO16" s="281"/>
      <c r="BP16" s="281"/>
      <c r="BQ16" s="281"/>
      <c r="BR16" s="281"/>
      <c r="BS16" s="281"/>
      <c r="BT16" s="281"/>
      <c r="BU16" s="281"/>
      <c r="BV16" s="281"/>
      <c r="BW16" s="281"/>
      <c r="BX16" s="281"/>
      <c r="BY16" s="281"/>
      <c r="BZ16" s="281"/>
      <c r="CA16" s="281"/>
      <c r="CB16" s="281"/>
      <c r="CC16" s="281"/>
      <c r="CD16" s="281"/>
      <c r="CE16" s="281"/>
      <c r="CF16" s="281"/>
      <c r="CG16" s="281"/>
      <c r="CH16" s="281"/>
      <c r="CI16" s="281"/>
      <c r="CJ16" s="281"/>
      <c r="CK16" s="281"/>
      <c r="CL16" s="281"/>
      <c r="CM16" s="281"/>
      <c r="CN16" s="281"/>
      <c r="CO16" s="281"/>
      <c r="CP16" s="281"/>
      <c r="CQ16" s="281"/>
      <c r="CR16" s="281"/>
      <c r="CS16" s="281"/>
      <c r="CT16" s="281"/>
      <c r="CU16" s="281"/>
      <c r="CV16" s="281"/>
      <c r="CW16" s="281"/>
      <c r="CX16" s="281"/>
      <c r="CY16" s="281"/>
      <c r="CZ16" s="281"/>
      <c r="DA16" s="281"/>
      <c r="DB16" s="281"/>
      <c r="DC16" s="281"/>
      <c r="DD16" s="281"/>
      <c r="DE16" s="281"/>
      <c r="DF16" s="281"/>
      <c r="DG16" s="281"/>
      <c r="DH16" s="281"/>
      <c r="DI16" s="281"/>
      <c r="DJ16" s="281"/>
      <c r="DK16" s="281"/>
      <c r="DL16" s="281"/>
      <c r="DM16" s="281"/>
      <c r="DN16" s="281"/>
      <c r="DO16" s="281"/>
      <c r="DP16" s="281"/>
      <c r="DQ16" s="281"/>
      <c r="DR16" s="281"/>
      <c r="DS16" s="281"/>
      <c r="DT16" s="281"/>
      <c r="DU16" s="281"/>
      <c r="DV16" s="281"/>
      <c r="DW16" s="281"/>
      <c r="DX16" s="281"/>
      <c r="DY16" s="281"/>
      <c r="DZ16" s="281"/>
      <c r="EA16" s="281"/>
      <c r="EB16" s="281"/>
      <c r="EC16" s="281"/>
      <c r="ED16" s="281"/>
      <c r="EE16" s="281"/>
      <c r="EF16" s="281"/>
      <c r="EG16" s="281"/>
      <c r="EH16" s="281"/>
      <c r="EI16" s="281"/>
      <c r="EJ16" s="281"/>
      <c r="EK16" s="281"/>
      <c r="EL16" s="281"/>
      <c r="EM16" s="281"/>
      <c r="EN16" s="281"/>
      <c r="EO16" s="281"/>
      <c r="EP16" s="281"/>
      <c r="EQ16" s="281"/>
      <c r="ER16" s="281"/>
      <c r="ES16" s="281"/>
      <c r="ET16" s="281"/>
      <c r="EU16" s="281"/>
      <c r="EV16" s="281"/>
      <c r="EW16" s="281"/>
      <c r="EX16" s="281"/>
      <c r="EY16" s="281"/>
      <c r="EZ16" s="281"/>
      <c r="FA16" s="281"/>
      <c r="FB16" s="281"/>
      <c r="FC16" s="281"/>
      <c r="FD16" s="281"/>
      <c r="FE16" s="281"/>
      <c r="FF16" s="281"/>
      <c r="FG16" s="281"/>
      <c r="FH16" s="281"/>
      <c r="FI16" s="281"/>
      <c r="FJ16" s="281"/>
      <c r="FK16" s="281"/>
      <c r="FL16" s="281"/>
      <c r="FM16" s="281"/>
      <c r="FN16" s="281"/>
      <c r="FO16" s="281"/>
      <c r="FP16" s="281"/>
      <c r="FQ16" s="281"/>
      <c r="FR16" s="281"/>
      <c r="FS16" s="281"/>
      <c r="FT16" s="281"/>
      <c r="FU16" s="281"/>
      <c r="FV16" s="281"/>
      <c r="FW16" s="281"/>
      <c r="FX16" s="281"/>
      <c r="FY16" s="281"/>
      <c r="FZ16" s="281"/>
      <c r="GA16" s="281"/>
      <c r="GB16" s="281"/>
      <c r="GC16" s="281"/>
      <c r="GD16" s="281"/>
      <c r="GE16" s="281"/>
      <c r="GF16" s="281"/>
      <c r="GG16" s="281"/>
      <c r="GH16" s="281"/>
      <c r="GI16" s="281"/>
      <c r="GJ16" s="281"/>
      <c r="GK16" s="281"/>
      <c r="GL16" s="281"/>
      <c r="GM16" s="281"/>
      <c r="GN16" s="281"/>
      <c r="GO16" s="281"/>
      <c r="GP16" s="281"/>
      <c r="GQ16" s="281"/>
      <c r="GR16" s="281"/>
      <c r="GS16" s="281"/>
      <c r="GT16" s="281"/>
      <c r="GU16" s="281"/>
      <c r="GV16" s="281"/>
      <c r="GW16" s="281"/>
      <c r="GX16" s="281"/>
      <c r="GY16" s="281"/>
      <c r="GZ16" s="281"/>
      <c r="HA16" s="281"/>
      <c r="HB16" s="281"/>
      <c r="HC16" s="281"/>
      <c r="HD16" s="281"/>
      <c r="HE16" s="281"/>
      <c r="HF16" s="281"/>
      <c r="HG16" s="281"/>
      <c r="HH16" s="281"/>
      <c r="HI16" s="281"/>
      <c r="HJ16" s="281"/>
      <c r="HK16" s="281"/>
      <c r="HL16" s="281"/>
      <c r="HM16" s="281"/>
      <c r="HN16" s="281"/>
      <c r="HO16" s="281"/>
      <c r="HP16" s="281"/>
      <c r="HQ16" s="281"/>
      <c r="HR16" s="281"/>
      <c r="HS16" s="281"/>
      <c r="HT16" s="281"/>
      <c r="HU16" s="281"/>
      <c r="HV16" s="281"/>
      <c r="HW16" s="281"/>
      <c r="HX16" s="281"/>
      <c r="HY16" s="281"/>
      <c r="HZ16" s="281"/>
      <c r="IA16" s="281"/>
      <c r="IB16" s="281"/>
      <c r="IC16" s="281"/>
      <c r="ID16" s="281"/>
      <c r="IE16" s="281"/>
      <c r="IF16" s="281"/>
      <c r="IG16" s="281"/>
      <c r="IH16" s="281"/>
      <c r="II16" s="281"/>
      <c r="IJ16" s="281"/>
      <c r="IK16" s="281"/>
      <c r="IL16" s="281"/>
      <c r="IM16" s="281"/>
      <c r="IN16" s="281"/>
      <c r="IO16" s="281"/>
      <c r="IP16" s="281"/>
      <c r="IQ16" s="281"/>
      <c r="IR16" s="281"/>
      <c r="IS16" s="281"/>
      <c r="IT16" s="281"/>
      <c r="IU16" s="282"/>
    </row>
    <row r="17" spans="1:255" ht="18" customHeight="1" x14ac:dyDescent="0.15">
      <c r="A17" s="6"/>
      <c r="B17" s="935" t="s">
        <v>269</v>
      </c>
      <c r="C17" s="1662">
        <f>(($C16-IGG!$C$3)/(IGG!$C$4-IGG!$C$3))/10</f>
        <v>2.0662008275565427</v>
      </c>
      <c r="D17" s="1635">
        <f>(($D16-IGG!$D$3)/(IGG!$D$4-IGG!$D$3))/10</f>
        <v>5.8191927806322328</v>
      </c>
      <c r="E17" s="1384">
        <f>(($E16-IGG!$E$3)/(IGG!$E$3))/10</f>
        <v>1.8949031489149632E-2</v>
      </c>
      <c r="F17" s="1641">
        <f>(($F16-IGG!$F$3)/(IGG!$F$4-IGG!$F$3))/10</f>
        <v>7.149777331531384</v>
      </c>
      <c r="G17" s="1637">
        <f>(($G16-IGG!$G$3)/(IGG!$G$4-IGG!$G$3))/10</f>
        <v>4.2966305407365624E-2</v>
      </c>
      <c r="H17" s="1638">
        <f>(($H16-IGG!$H$3)/(IGG!$H$4-IGG!$H$3))/10</f>
        <v>0.12865566953826998</v>
      </c>
      <c r="I17" s="1639">
        <f>(($I16-IGG!$I$3)/(IGG!$I$4-IGG!$I$3))/10</f>
        <v>3.6284325474230905</v>
      </c>
      <c r="J17" s="1643">
        <f>((J16-IGG!$J$3)/(IGG!$J$4-IGG!$J$3))/10</f>
        <v>2.2491386153381718</v>
      </c>
      <c r="K17" s="1388">
        <f>((K16-IGG!$K$3)/(IGG!$K$4-IGG!$K$3))/10</f>
        <v>2.7184662170651857</v>
      </c>
      <c r="L17" s="1644">
        <f>((L16-IGG!$L$3)/(IGG!$L$4-IGG!$L$3))/10</f>
        <v>5.7964600214327184</v>
      </c>
      <c r="M17" s="844" t="s">
        <v>269</v>
      </c>
      <c r="N17" s="30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1"/>
      <c r="AS17" s="281"/>
      <c r="AT17" s="281"/>
      <c r="AU17" s="281"/>
      <c r="AV17" s="281"/>
      <c r="AW17" s="281"/>
      <c r="AX17" s="281"/>
      <c r="AY17" s="281"/>
      <c r="AZ17" s="281"/>
      <c r="BA17" s="281"/>
      <c r="BB17" s="281"/>
      <c r="BC17" s="281"/>
      <c r="BD17" s="281"/>
      <c r="BE17" s="281"/>
      <c r="BF17" s="281"/>
      <c r="BG17" s="281"/>
      <c r="BH17" s="281"/>
      <c r="BI17" s="281"/>
      <c r="BJ17" s="281"/>
      <c r="BK17" s="281"/>
      <c r="BL17" s="281"/>
      <c r="BM17" s="281"/>
      <c r="BN17" s="281"/>
      <c r="BO17" s="281"/>
      <c r="BP17" s="281"/>
      <c r="BQ17" s="281"/>
      <c r="BR17" s="281"/>
      <c r="BS17" s="281"/>
      <c r="BT17" s="281"/>
      <c r="BU17" s="281"/>
      <c r="BV17" s="281"/>
      <c r="BW17" s="281"/>
      <c r="BX17" s="281"/>
      <c r="BY17" s="281"/>
      <c r="BZ17" s="281"/>
      <c r="CA17" s="281"/>
      <c r="CB17" s="281"/>
      <c r="CC17" s="281"/>
      <c r="CD17" s="281"/>
      <c r="CE17" s="281"/>
      <c r="CF17" s="281"/>
      <c r="CG17" s="281"/>
      <c r="CH17" s="281"/>
      <c r="CI17" s="281"/>
      <c r="CJ17" s="281"/>
      <c r="CK17" s="281"/>
      <c r="CL17" s="281"/>
      <c r="CM17" s="281"/>
      <c r="CN17" s="281"/>
      <c r="CO17" s="281"/>
      <c r="CP17" s="281"/>
      <c r="CQ17" s="281"/>
      <c r="CR17" s="281"/>
      <c r="CS17" s="281"/>
      <c r="CT17" s="281"/>
      <c r="CU17" s="281"/>
      <c r="CV17" s="281"/>
      <c r="CW17" s="281"/>
      <c r="CX17" s="281"/>
      <c r="CY17" s="281"/>
      <c r="CZ17" s="281"/>
      <c r="DA17" s="281"/>
      <c r="DB17" s="281"/>
      <c r="DC17" s="281"/>
      <c r="DD17" s="281"/>
      <c r="DE17" s="281"/>
      <c r="DF17" s="281"/>
      <c r="DG17" s="281"/>
      <c r="DH17" s="281"/>
      <c r="DI17" s="281"/>
      <c r="DJ17" s="281"/>
      <c r="DK17" s="281"/>
      <c r="DL17" s="281"/>
      <c r="DM17" s="281"/>
      <c r="DN17" s="281"/>
      <c r="DO17" s="281"/>
      <c r="DP17" s="281"/>
      <c r="DQ17" s="281"/>
      <c r="DR17" s="281"/>
      <c r="DS17" s="281"/>
      <c r="DT17" s="281"/>
      <c r="DU17" s="281"/>
      <c r="DV17" s="281"/>
      <c r="DW17" s="281"/>
      <c r="DX17" s="281"/>
      <c r="DY17" s="281"/>
      <c r="DZ17" s="281"/>
      <c r="EA17" s="281"/>
      <c r="EB17" s="281"/>
      <c r="EC17" s="281"/>
      <c r="ED17" s="281"/>
      <c r="EE17" s="281"/>
      <c r="EF17" s="281"/>
      <c r="EG17" s="281"/>
      <c r="EH17" s="281"/>
      <c r="EI17" s="281"/>
      <c r="EJ17" s="281"/>
      <c r="EK17" s="281"/>
      <c r="EL17" s="281"/>
      <c r="EM17" s="281"/>
      <c r="EN17" s="281"/>
      <c r="EO17" s="281"/>
      <c r="EP17" s="281"/>
      <c r="EQ17" s="281"/>
      <c r="ER17" s="281"/>
      <c r="ES17" s="281"/>
      <c r="ET17" s="281"/>
      <c r="EU17" s="281"/>
      <c r="EV17" s="281"/>
      <c r="EW17" s="281"/>
      <c r="EX17" s="281"/>
      <c r="EY17" s="281"/>
      <c r="EZ17" s="281"/>
      <c r="FA17" s="281"/>
      <c r="FB17" s="281"/>
      <c r="FC17" s="281"/>
      <c r="FD17" s="281"/>
      <c r="FE17" s="281"/>
      <c r="FF17" s="281"/>
      <c r="FG17" s="281"/>
      <c r="FH17" s="281"/>
      <c r="FI17" s="281"/>
      <c r="FJ17" s="281"/>
      <c r="FK17" s="281"/>
      <c r="FL17" s="281"/>
      <c r="FM17" s="281"/>
      <c r="FN17" s="281"/>
      <c r="FO17" s="281"/>
      <c r="FP17" s="281"/>
      <c r="FQ17" s="281"/>
      <c r="FR17" s="281"/>
      <c r="FS17" s="281"/>
      <c r="FT17" s="281"/>
      <c r="FU17" s="281"/>
      <c r="FV17" s="281"/>
      <c r="FW17" s="281"/>
      <c r="FX17" s="281"/>
      <c r="FY17" s="281"/>
      <c r="FZ17" s="281"/>
      <c r="GA17" s="281"/>
      <c r="GB17" s="281"/>
      <c r="GC17" s="281"/>
      <c r="GD17" s="281"/>
      <c r="GE17" s="281"/>
      <c r="GF17" s="281"/>
      <c r="GG17" s="281"/>
      <c r="GH17" s="281"/>
      <c r="GI17" s="281"/>
      <c r="GJ17" s="281"/>
      <c r="GK17" s="281"/>
      <c r="GL17" s="281"/>
      <c r="GM17" s="281"/>
      <c r="GN17" s="281"/>
      <c r="GO17" s="281"/>
      <c r="GP17" s="281"/>
      <c r="GQ17" s="281"/>
      <c r="GR17" s="281"/>
      <c r="GS17" s="281"/>
      <c r="GT17" s="281"/>
      <c r="GU17" s="281"/>
      <c r="GV17" s="281"/>
      <c r="GW17" s="281"/>
      <c r="GX17" s="281"/>
      <c r="GY17" s="281"/>
      <c r="GZ17" s="281"/>
      <c r="HA17" s="281"/>
      <c r="HB17" s="281"/>
      <c r="HC17" s="281"/>
      <c r="HD17" s="281"/>
      <c r="HE17" s="281"/>
      <c r="HF17" s="281"/>
      <c r="HG17" s="281"/>
      <c r="HH17" s="281"/>
      <c r="HI17" s="281"/>
      <c r="HJ17" s="281"/>
      <c r="HK17" s="281"/>
      <c r="HL17" s="281"/>
      <c r="HM17" s="281"/>
      <c r="HN17" s="281"/>
      <c r="HO17" s="281"/>
      <c r="HP17" s="281"/>
      <c r="HQ17" s="281"/>
      <c r="HR17" s="281"/>
      <c r="HS17" s="281"/>
      <c r="HT17" s="281"/>
      <c r="HU17" s="281"/>
      <c r="HV17" s="281"/>
      <c r="HW17" s="281"/>
      <c r="HX17" s="281"/>
      <c r="HY17" s="281"/>
      <c r="HZ17" s="281"/>
      <c r="IA17" s="281"/>
      <c r="IB17" s="281"/>
      <c r="IC17" s="281"/>
      <c r="ID17" s="281"/>
      <c r="IE17" s="281"/>
      <c r="IF17" s="281"/>
      <c r="IG17" s="281"/>
      <c r="IH17" s="281"/>
      <c r="II17" s="281"/>
      <c r="IJ17" s="281"/>
      <c r="IK17" s="281"/>
      <c r="IL17" s="281"/>
      <c r="IM17" s="281"/>
      <c r="IN17" s="281"/>
      <c r="IO17" s="281"/>
      <c r="IP17" s="281"/>
      <c r="IQ17" s="281"/>
      <c r="IR17" s="281"/>
      <c r="IS17" s="281"/>
      <c r="IT17" s="281"/>
      <c r="IU17" s="282"/>
    </row>
    <row r="18" spans="1:255" ht="18" customHeight="1" x14ac:dyDescent="0.15">
      <c r="A18" s="6"/>
      <c r="B18" s="1640"/>
      <c r="C18" s="1645" t="s">
        <v>270</v>
      </c>
      <c r="D18" s="1645">
        <f>SUM(C16:L16)</f>
        <v>337480.7075209358</v>
      </c>
      <c r="E18" s="1645" t="s">
        <v>242</v>
      </c>
      <c r="F18" s="1656">
        <v>7.6345878709735135</v>
      </c>
      <c r="G18" s="1637"/>
      <c r="H18" s="1638"/>
      <c r="I18" s="1639"/>
      <c r="J18" s="1636"/>
      <c r="K18" s="1388"/>
      <c r="L18" s="1644"/>
      <c r="M18" s="851"/>
      <c r="N18" s="30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/>
      <c r="AS18" s="281"/>
      <c r="AT18" s="281"/>
      <c r="AU18" s="281"/>
      <c r="AV18" s="281"/>
      <c r="AW18" s="281"/>
      <c r="AX18" s="281"/>
      <c r="AY18" s="281"/>
      <c r="AZ18" s="281"/>
      <c r="BA18" s="281"/>
      <c r="BB18" s="281"/>
      <c r="BC18" s="281"/>
      <c r="BD18" s="281"/>
      <c r="BE18" s="281"/>
      <c r="BF18" s="281"/>
      <c r="BG18" s="281"/>
      <c r="BH18" s="281"/>
      <c r="BI18" s="281"/>
      <c r="BJ18" s="281"/>
      <c r="BK18" s="281"/>
      <c r="BL18" s="281"/>
      <c r="BM18" s="281"/>
      <c r="BN18" s="281"/>
      <c r="BO18" s="281"/>
      <c r="BP18" s="281"/>
      <c r="BQ18" s="281"/>
      <c r="BR18" s="281"/>
      <c r="BS18" s="281"/>
      <c r="BT18" s="281"/>
      <c r="BU18" s="281"/>
      <c r="BV18" s="281"/>
      <c r="BW18" s="281"/>
      <c r="BX18" s="281"/>
      <c r="BY18" s="281"/>
      <c r="BZ18" s="281"/>
      <c r="CA18" s="281"/>
      <c r="CB18" s="281"/>
      <c r="CC18" s="281"/>
      <c r="CD18" s="281"/>
      <c r="CE18" s="281"/>
      <c r="CF18" s="281"/>
      <c r="CG18" s="281"/>
      <c r="CH18" s="281"/>
      <c r="CI18" s="281"/>
      <c r="CJ18" s="281"/>
      <c r="CK18" s="281"/>
      <c r="CL18" s="281"/>
      <c r="CM18" s="281"/>
      <c r="CN18" s="281"/>
      <c r="CO18" s="281"/>
      <c r="CP18" s="281"/>
      <c r="CQ18" s="281"/>
      <c r="CR18" s="281"/>
      <c r="CS18" s="281"/>
      <c r="CT18" s="281"/>
      <c r="CU18" s="281"/>
      <c r="CV18" s="281"/>
      <c r="CW18" s="281"/>
      <c r="CX18" s="281"/>
      <c r="CY18" s="281"/>
      <c r="CZ18" s="281"/>
      <c r="DA18" s="281"/>
      <c r="DB18" s="281"/>
      <c r="DC18" s="281"/>
      <c r="DD18" s="281"/>
      <c r="DE18" s="281"/>
      <c r="DF18" s="281"/>
      <c r="DG18" s="281"/>
      <c r="DH18" s="281"/>
      <c r="DI18" s="281"/>
      <c r="DJ18" s="281"/>
      <c r="DK18" s="281"/>
      <c r="DL18" s="281"/>
      <c r="DM18" s="281"/>
      <c r="DN18" s="281"/>
      <c r="DO18" s="281"/>
      <c r="DP18" s="281"/>
      <c r="DQ18" s="281"/>
      <c r="DR18" s="281"/>
      <c r="DS18" s="281"/>
      <c r="DT18" s="281"/>
      <c r="DU18" s="281"/>
      <c r="DV18" s="281"/>
      <c r="DW18" s="281"/>
      <c r="DX18" s="281"/>
      <c r="DY18" s="281"/>
      <c r="DZ18" s="281"/>
      <c r="EA18" s="281"/>
      <c r="EB18" s="281"/>
      <c r="EC18" s="281"/>
      <c r="ED18" s="281"/>
      <c r="EE18" s="281"/>
      <c r="EF18" s="281"/>
      <c r="EG18" s="281"/>
      <c r="EH18" s="281"/>
      <c r="EI18" s="281"/>
      <c r="EJ18" s="281"/>
      <c r="EK18" s="281"/>
      <c r="EL18" s="281"/>
      <c r="EM18" s="281"/>
      <c r="EN18" s="281"/>
      <c r="EO18" s="281"/>
      <c r="EP18" s="281"/>
      <c r="EQ18" s="281"/>
      <c r="ER18" s="281"/>
      <c r="ES18" s="281"/>
      <c r="ET18" s="281"/>
      <c r="EU18" s="281"/>
      <c r="EV18" s="281"/>
      <c r="EW18" s="281"/>
      <c r="EX18" s="281"/>
      <c r="EY18" s="281"/>
      <c r="EZ18" s="281"/>
      <c r="FA18" s="281"/>
      <c r="FB18" s="281"/>
      <c r="FC18" s="281"/>
      <c r="FD18" s="281"/>
      <c r="FE18" s="281"/>
      <c r="FF18" s="281"/>
      <c r="FG18" s="281"/>
      <c r="FH18" s="281"/>
      <c r="FI18" s="281"/>
      <c r="FJ18" s="281"/>
      <c r="FK18" s="281"/>
      <c r="FL18" s="281"/>
      <c r="FM18" s="281"/>
      <c r="FN18" s="281"/>
      <c r="FO18" s="281"/>
      <c r="FP18" s="281"/>
      <c r="FQ18" s="281"/>
      <c r="FR18" s="281"/>
      <c r="FS18" s="281"/>
      <c r="FT18" s="281"/>
      <c r="FU18" s="281"/>
      <c r="FV18" s="281"/>
      <c r="FW18" s="281"/>
      <c r="FX18" s="281"/>
      <c r="FY18" s="281"/>
      <c r="FZ18" s="281"/>
      <c r="GA18" s="281"/>
      <c r="GB18" s="281"/>
      <c r="GC18" s="281"/>
      <c r="GD18" s="281"/>
      <c r="GE18" s="281"/>
      <c r="GF18" s="281"/>
      <c r="GG18" s="281"/>
      <c r="GH18" s="281"/>
      <c r="GI18" s="281"/>
      <c r="GJ18" s="281"/>
      <c r="GK18" s="281"/>
      <c r="GL18" s="281"/>
      <c r="GM18" s="281"/>
      <c r="GN18" s="281"/>
      <c r="GO18" s="281"/>
      <c r="GP18" s="281"/>
      <c r="GQ18" s="281"/>
      <c r="GR18" s="281"/>
      <c r="GS18" s="281"/>
      <c r="GT18" s="281"/>
      <c r="GU18" s="281"/>
      <c r="GV18" s="281"/>
      <c r="GW18" s="281"/>
      <c r="GX18" s="281"/>
      <c r="GY18" s="281"/>
      <c r="GZ18" s="281"/>
      <c r="HA18" s="281"/>
      <c r="HB18" s="281"/>
      <c r="HC18" s="281"/>
      <c r="HD18" s="281"/>
      <c r="HE18" s="281"/>
      <c r="HF18" s="281"/>
      <c r="HG18" s="281"/>
      <c r="HH18" s="281"/>
      <c r="HI18" s="281"/>
      <c r="HJ18" s="281"/>
      <c r="HK18" s="281"/>
      <c r="HL18" s="281"/>
      <c r="HM18" s="281"/>
      <c r="HN18" s="281"/>
      <c r="HO18" s="281"/>
      <c r="HP18" s="281"/>
      <c r="HQ18" s="281"/>
      <c r="HR18" s="281"/>
      <c r="HS18" s="281"/>
      <c r="HT18" s="281"/>
      <c r="HU18" s="281"/>
      <c r="HV18" s="281"/>
      <c r="HW18" s="281"/>
      <c r="HX18" s="281"/>
      <c r="HY18" s="281"/>
      <c r="HZ18" s="281"/>
      <c r="IA18" s="281"/>
      <c r="IB18" s="281"/>
      <c r="IC18" s="281"/>
      <c r="ID18" s="281"/>
      <c r="IE18" s="281"/>
      <c r="IF18" s="281"/>
      <c r="IG18" s="281"/>
      <c r="IH18" s="281"/>
      <c r="II18" s="281"/>
      <c r="IJ18" s="281"/>
      <c r="IK18" s="281"/>
      <c r="IL18" s="281"/>
      <c r="IM18" s="281"/>
      <c r="IN18" s="281"/>
      <c r="IO18" s="281"/>
      <c r="IP18" s="281"/>
      <c r="IQ18" s="281"/>
      <c r="IR18" s="281"/>
      <c r="IS18" s="281"/>
      <c r="IT18" s="281"/>
      <c r="IU18" s="282"/>
    </row>
    <row r="19" spans="1:255" ht="18" customHeight="1" x14ac:dyDescent="0.15">
      <c r="A19" s="6"/>
      <c r="B19" s="935" t="s">
        <v>287</v>
      </c>
      <c r="C19" s="1370">
        <f>Données!H4</f>
        <v>0.99162232030099995</v>
      </c>
      <c r="D19" s="1383">
        <f>Données!H5</f>
        <v>0.31576397565800002</v>
      </c>
      <c r="E19" s="1384">
        <f>Données!H6</f>
        <v>0.72021042199700003</v>
      </c>
      <c r="F19" s="1641">
        <f>Données!H7</f>
        <v>0.99113270101600004</v>
      </c>
      <c r="G19" s="1368">
        <f>Données!H8</f>
        <v>1.507596893553</v>
      </c>
      <c r="H19" s="1385">
        <f>Données!H9</f>
        <v>5.4492880539420003</v>
      </c>
      <c r="I19" s="1642">
        <f>Données!H10</f>
        <v>9.7923671220300008</v>
      </c>
      <c r="J19" s="1643">
        <f>Données!H11</f>
        <v>19.623991323114002</v>
      </c>
      <c r="K19" s="1388">
        <f>Données!H12</f>
        <v>30.181972834947999</v>
      </c>
      <c r="L19" s="1416">
        <f>Données!H13</f>
        <v>29.754665988444</v>
      </c>
      <c r="M19" s="844" t="s">
        <v>287</v>
      </c>
      <c r="N19" s="30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/>
      <c r="AT19" s="281"/>
      <c r="AU19" s="281"/>
      <c r="AV19" s="281"/>
      <c r="AW19" s="281"/>
      <c r="AX19" s="281"/>
      <c r="AY19" s="281"/>
      <c r="AZ19" s="281"/>
      <c r="BA19" s="281"/>
      <c r="BB19" s="281"/>
      <c r="BC19" s="281"/>
      <c r="BD19" s="281"/>
      <c r="BE19" s="281"/>
      <c r="BF19" s="281"/>
      <c r="BG19" s="281"/>
      <c r="BH19" s="281"/>
      <c r="BI19" s="281"/>
      <c r="BJ19" s="281"/>
      <c r="BK19" s="281"/>
      <c r="BL19" s="281"/>
      <c r="BM19" s="281"/>
      <c r="BN19" s="281"/>
      <c r="BO19" s="281"/>
      <c r="BP19" s="281"/>
      <c r="BQ19" s="281"/>
      <c r="BR19" s="281"/>
      <c r="BS19" s="281"/>
      <c r="BT19" s="281"/>
      <c r="BU19" s="281"/>
      <c r="BV19" s="281"/>
      <c r="BW19" s="281"/>
      <c r="BX19" s="281"/>
      <c r="BY19" s="281"/>
      <c r="BZ19" s="281"/>
      <c r="CA19" s="281"/>
      <c r="CB19" s="281"/>
      <c r="CC19" s="281"/>
      <c r="CD19" s="281"/>
      <c r="CE19" s="281"/>
      <c r="CF19" s="281"/>
      <c r="CG19" s="281"/>
      <c r="CH19" s="281"/>
      <c r="CI19" s="281"/>
      <c r="CJ19" s="281"/>
      <c r="CK19" s="281"/>
      <c r="CL19" s="281"/>
      <c r="CM19" s="281"/>
      <c r="CN19" s="281"/>
      <c r="CO19" s="281"/>
      <c r="CP19" s="281"/>
      <c r="CQ19" s="281"/>
      <c r="CR19" s="281"/>
      <c r="CS19" s="281"/>
      <c r="CT19" s="281"/>
      <c r="CU19" s="281"/>
      <c r="CV19" s="281"/>
      <c r="CW19" s="281"/>
      <c r="CX19" s="281"/>
      <c r="CY19" s="281"/>
      <c r="CZ19" s="281"/>
      <c r="DA19" s="281"/>
      <c r="DB19" s="281"/>
      <c r="DC19" s="281"/>
      <c r="DD19" s="281"/>
      <c r="DE19" s="281"/>
      <c r="DF19" s="281"/>
      <c r="DG19" s="281"/>
      <c r="DH19" s="281"/>
      <c r="DI19" s="281"/>
      <c r="DJ19" s="281"/>
      <c r="DK19" s="281"/>
      <c r="DL19" s="281"/>
      <c r="DM19" s="281"/>
      <c r="DN19" s="281"/>
      <c r="DO19" s="281"/>
      <c r="DP19" s="281"/>
      <c r="DQ19" s="281"/>
      <c r="DR19" s="281"/>
      <c r="DS19" s="281"/>
      <c r="DT19" s="281"/>
      <c r="DU19" s="281"/>
      <c r="DV19" s="281"/>
      <c r="DW19" s="281"/>
      <c r="DX19" s="281"/>
      <c r="DY19" s="281"/>
      <c r="DZ19" s="281"/>
      <c r="EA19" s="281"/>
      <c r="EB19" s="281"/>
      <c r="EC19" s="281"/>
      <c r="ED19" s="281"/>
      <c r="EE19" s="281"/>
      <c r="EF19" s="281"/>
      <c r="EG19" s="281"/>
      <c r="EH19" s="281"/>
      <c r="EI19" s="281"/>
      <c r="EJ19" s="281"/>
      <c r="EK19" s="281"/>
      <c r="EL19" s="281"/>
      <c r="EM19" s="281"/>
      <c r="EN19" s="281"/>
      <c r="EO19" s="281"/>
      <c r="EP19" s="281"/>
      <c r="EQ19" s="281"/>
      <c r="ER19" s="281"/>
      <c r="ES19" s="281"/>
      <c r="ET19" s="281"/>
      <c r="EU19" s="281"/>
      <c r="EV19" s="281"/>
      <c r="EW19" s="281"/>
      <c r="EX19" s="281"/>
      <c r="EY19" s="281"/>
      <c r="EZ19" s="281"/>
      <c r="FA19" s="281"/>
      <c r="FB19" s="281"/>
      <c r="FC19" s="281"/>
      <c r="FD19" s="281"/>
      <c r="FE19" s="281"/>
      <c r="FF19" s="281"/>
      <c r="FG19" s="281"/>
      <c r="FH19" s="281"/>
      <c r="FI19" s="281"/>
      <c r="FJ19" s="281"/>
      <c r="FK19" s="281"/>
      <c r="FL19" s="281"/>
      <c r="FM19" s="281"/>
      <c r="FN19" s="281"/>
      <c r="FO19" s="281"/>
      <c r="FP19" s="281"/>
      <c r="FQ19" s="281"/>
      <c r="FR19" s="281"/>
      <c r="FS19" s="281"/>
      <c r="FT19" s="281"/>
      <c r="FU19" s="281"/>
      <c r="FV19" s="281"/>
      <c r="FW19" s="281"/>
      <c r="FX19" s="281"/>
      <c r="FY19" s="281"/>
      <c r="FZ19" s="281"/>
      <c r="GA19" s="281"/>
      <c r="GB19" s="281"/>
      <c r="GC19" s="281"/>
      <c r="GD19" s="281"/>
      <c r="GE19" s="281"/>
      <c r="GF19" s="281"/>
      <c r="GG19" s="281"/>
      <c r="GH19" s="281"/>
      <c r="GI19" s="281"/>
      <c r="GJ19" s="281"/>
      <c r="GK19" s="281"/>
      <c r="GL19" s="281"/>
      <c r="GM19" s="281"/>
      <c r="GN19" s="281"/>
      <c r="GO19" s="281"/>
      <c r="GP19" s="281"/>
      <c r="GQ19" s="281"/>
      <c r="GR19" s="281"/>
      <c r="GS19" s="281"/>
      <c r="GT19" s="281"/>
      <c r="GU19" s="281"/>
      <c r="GV19" s="281"/>
      <c r="GW19" s="281"/>
      <c r="GX19" s="281"/>
      <c r="GY19" s="281"/>
      <c r="GZ19" s="281"/>
      <c r="HA19" s="281"/>
      <c r="HB19" s="281"/>
      <c r="HC19" s="281"/>
      <c r="HD19" s="281"/>
      <c r="HE19" s="281"/>
      <c r="HF19" s="281"/>
      <c r="HG19" s="281"/>
      <c r="HH19" s="281"/>
      <c r="HI19" s="281"/>
      <c r="HJ19" s="281"/>
      <c r="HK19" s="281"/>
      <c r="HL19" s="281"/>
      <c r="HM19" s="281"/>
      <c r="HN19" s="281"/>
      <c r="HO19" s="281"/>
      <c r="HP19" s="281"/>
      <c r="HQ19" s="281"/>
      <c r="HR19" s="281"/>
      <c r="HS19" s="281"/>
      <c r="HT19" s="281"/>
      <c r="HU19" s="281"/>
      <c r="HV19" s="281"/>
      <c r="HW19" s="281"/>
      <c r="HX19" s="281"/>
      <c r="HY19" s="281"/>
      <c r="HZ19" s="281"/>
      <c r="IA19" s="281"/>
      <c r="IB19" s="281"/>
      <c r="IC19" s="281"/>
      <c r="ID19" s="281"/>
      <c r="IE19" s="281"/>
      <c r="IF19" s="281"/>
      <c r="IG19" s="281"/>
      <c r="IH19" s="281"/>
      <c r="II19" s="281"/>
      <c r="IJ19" s="281"/>
      <c r="IK19" s="281"/>
      <c r="IL19" s="281"/>
      <c r="IM19" s="281"/>
      <c r="IN19" s="281"/>
      <c r="IO19" s="281"/>
      <c r="IP19" s="281"/>
      <c r="IQ19" s="281"/>
      <c r="IR19" s="281"/>
      <c r="IS19" s="281"/>
      <c r="IT19" s="281"/>
      <c r="IU19" s="282"/>
    </row>
    <row r="20" spans="1:255" ht="18" customHeight="1" x14ac:dyDescent="0.15">
      <c r="A20" s="6"/>
      <c r="B20" s="935" t="s">
        <v>288</v>
      </c>
      <c r="C20" s="1663"/>
      <c r="D20" s="1646">
        <f>F15</f>
        <v>0.99113270101600004</v>
      </c>
      <c r="E20" s="1657">
        <f>F15</f>
        <v>0.99113270101600004</v>
      </c>
      <c r="F20" s="1647"/>
      <c r="G20" s="1648">
        <f>F15</f>
        <v>0.99113270101600004</v>
      </c>
      <c r="H20" s="1649">
        <f>F15</f>
        <v>0.99113270101600004</v>
      </c>
      <c r="I20" s="1650">
        <f>F15</f>
        <v>0.99113270101600004</v>
      </c>
      <c r="J20" s="1651">
        <f>F15</f>
        <v>0.99113270101600004</v>
      </c>
      <c r="K20" s="1653">
        <f>F15</f>
        <v>0.99113270101600004</v>
      </c>
      <c r="L20" s="1655">
        <f>F15</f>
        <v>0.99113270101600004</v>
      </c>
      <c r="M20" s="844" t="s">
        <v>288</v>
      </c>
      <c r="N20" s="30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81"/>
      <c r="BG20" s="281"/>
      <c r="BH20" s="281"/>
      <c r="BI20" s="281"/>
      <c r="BJ20" s="281"/>
      <c r="BK20" s="281"/>
      <c r="BL20" s="281"/>
      <c r="BM20" s="281"/>
      <c r="BN20" s="281"/>
      <c r="BO20" s="281"/>
      <c r="BP20" s="281"/>
      <c r="BQ20" s="281"/>
      <c r="BR20" s="281"/>
      <c r="BS20" s="281"/>
      <c r="BT20" s="281"/>
      <c r="BU20" s="281"/>
      <c r="BV20" s="281"/>
      <c r="BW20" s="281"/>
      <c r="BX20" s="281"/>
      <c r="BY20" s="281"/>
      <c r="BZ20" s="281"/>
      <c r="CA20" s="281"/>
      <c r="CB20" s="281"/>
      <c r="CC20" s="281"/>
      <c r="CD20" s="281"/>
      <c r="CE20" s="281"/>
      <c r="CF20" s="281"/>
      <c r="CG20" s="281"/>
      <c r="CH20" s="281"/>
      <c r="CI20" s="281"/>
      <c r="CJ20" s="281"/>
      <c r="CK20" s="281"/>
      <c r="CL20" s="281"/>
      <c r="CM20" s="281"/>
      <c r="CN20" s="281"/>
      <c r="CO20" s="281"/>
      <c r="CP20" s="281"/>
      <c r="CQ20" s="281"/>
      <c r="CR20" s="281"/>
      <c r="CS20" s="281"/>
      <c r="CT20" s="281"/>
      <c r="CU20" s="281"/>
      <c r="CV20" s="281"/>
      <c r="CW20" s="281"/>
      <c r="CX20" s="281"/>
      <c r="CY20" s="281"/>
      <c r="CZ20" s="281"/>
      <c r="DA20" s="281"/>
      <c r="DB20" s="281"/>
      <c r="DC20" s="281"/>
      <c r="DD20" s="281"/>
      <c r="DE20" s="281"/>
      <c r="DF20" s="281"/>
      <c r="DG20" s="281"/>
      <c r="DH20" s="281"/>
      <c r="DI20" s="281"/>
      <c r="DJ20" s="281"/>
      <c r="DK20" s="281"/>
      <c r="DL20" s="281"/>
      <c r="DM20" s="281"/>
      <c r="DN20" s="281"/>
      <c r="DO20" s="281"/>
      <c r="DP20" s="281"/>
      <c r="DQ20" s="281"/>
      <c r="DR20" s="281"/>
      <c r="DS20" s="281"/>
      <c r="DT20" s="281"/>
      <c r="DU20" s="281"/>
      <c r="DV20" s="281"/>
      <c r="DW20" s="281"/>
      <c r="DX20" s="281"/>
      <c r="DY20" s="281"/>
      <c r="DZ20" s="281"/>
      <c r="EA20" s="281"/>
      <c r="EB20" s="281"/>
      <c r="EC20" s="281"/>
      <c r="ED20" s="281"/>
      <c r="EE20" s="281"/>
      <c r="EF20" s="281"/>
      <c r="EG20" s="281"/>
      <c r="EH20" s="281"/>
      <c r="EI20" s="281"/>
      <c r="EJ20" s="281"/>
      <c r="EK20" s="281"/>
      <c r="EL20" s="281"/>
      <c r="EM20" s="281"/>
      <c r="EN20" s="281"/>
      <c r="EO20" s="281"/>
      <c r="EP20" s="281"/>
      <c r="EQ20" s="281"/>
      <c r="ER20" s="281"/>
      <c r="ES20" s="281"/>
      <c r="ET20" s="281"/>
      <c r="EU20" s="281"/>
      <c r="EV20" s="281"/>
      <c r="EW20" s="281"/>
      <c r="EX20" s="281"/>
      <c r="EY20" s="281"/>
      <c r="EZ20" s="281"/>
      <c r="FA20" s="281"/>
      <c r="FB20" s="281"/>
      <c r="FC20" s="281"/>
      <c r="FD20" s="281"/>
      <c r="FE20" s="281"/>
      <c r="FF20" s="281"/>
      <c r="FG20" s="281"/>
      <c r="FH20" s="281"/>
      <c r="FI20" s="281"/>
      <c r="FJ20" s="281"/>
      <c r="FK20" s="281"/>
      <c r="FL20" s="281"/>
      <c r="FM20" s="281"/>
      <c r="FN20" s="281"/>
      <c r="FO20" s="281"/>
      <c r="FP20" s="281"/>
      <c r="FQ20" s="281"/>
      <c r="FR20" s="281"/>
      <c r="FS20" s="281"/>
      <c r="FT20" s="281"/>
      <c r="FU20" s="281"/>
      <c r="FV20" s="281"/>
      <c r="FW20" s="281"/>
      <c r="FX20" s="281"/>
      <c r="FY20" s="281"/>
      <c r="FZ20" s="281"/>
      <c r="GA20" s="281"/>
      <c r="GB20" s="281"/>
      <c r="GC20" s="281"/>
      <c r="GD20" s="281"/>
      <c r="GE20" s="281"/>
      <c r="GF20" s="281"/>
      <c r="GG20" s="281"/>
      <c r="GH20" s="281"/>
      <c r="GI20" s="281"/>
      <c r="GJ20" s="281"/>
      <c r="GK20" s="281"/>
      <c r="GL20" s="281"/>
      <c r="GM20" s="281"/>
      <c r="GN20" s="281"/>
      <c r="GO20" s="281"/>
      <c r="GP20" s="281"/>
      <c r="GQ20" s="281"/>
      <c r="GR20" s="281"/>
      <c r="GS20" s="281"/>
      <c r="GT20" s="281"/>
      <c r="GU20" s="281"/>
      <c r="GV20" s="281"/>
      <c r="GW20" s="281"/>
      <c r="GX20" s="281"/>
      <c r="GY20" s="281"/>
      <c r="GZ20" s="281"/>
      <c r="HA20" s="281"/>
      <c r="HB20" s="281"/>
      <c r="HC20" s="281"/>
      <c r="HD20" s="281"/>
      <c r="HE20" s="281"/>
      <c r="HF20" s="281"/>
      <c r="HG20" s="281"/>
      <c r="HH20" s="281"/>
      <c r="HI20" s="281"/>
      <c r="HJ20" s="281"/>
      <c r="HK20" s="281"/>
      <c r="HL20" s="281"/>
      <c r="HM20" s="281"/>
      <c r="HN20" s="281"/>
      <c r="HO20" s="281"/>
      <c r="HP20" s="281"/>
      <c r="HQ20" s="281"/>
      <c r="HR20" s="281"/>
      <c r="HS20" s="281"/>
      <c r="HT20" s="281"/>
      <c r="HU20" s="281"/>
      <c r="HV20" s="281"/>
      <c r="HW20" s="281"/>
      <c r="HX20" s="281"/>
      <c r="HY20" s="281"/>
      <c r="HZ20" s="281"/>
      <c r="IA20" s="281"/>
      <c r="IB20" s="281"/>
      <c r="IC20" s="281"/>
      <c r="ID20" s="281"/>
      <c r="IE20" s="281"/>
      <c r="IF20" s="281"/>
      <c r="IG20" s="281"/>
      <c r="IH20" s="281"/>
      <c r="II20" s="281"/>
      <c r="IJ20" s="281"/>
      <c r="IK20" s="281"/>
      <c r="IL20" s="281"/>
      <c r="IM20" s="281"/>
      <c r="IN20" s="281"/>
      <c r="IO20" s="281"/>
      <c r="IP20" s="281"/>
      <c r="IQ20" s="281"/>
      <c r="IR20" s="281"/>
      <c r="IS20" s="281"/>
      <c r="IT20" s="281"/>
      <c r="IU20" s="282"/>
    </row>
    <row r="21" spans="1:255" ht="18" customHeight="1" x14ac:dyDescent="0.15">
      <c r="A21" s="6"/>
      <c r="B21" s="935" t="s">
        <v>289</v>
      </c>
      <c r="C21" s="1663"/>
      <c r="D21" s="1646">
        <f>(D15+D19+D20)/2</f>
        <v>0.991191428594</v>
      </c>
      <c r="E21" s="1657">
        <f>(E15+E19+E20)/2</f>
        <v>1.6567022050340001</v>
      </c>
      <c r="F21" s="1647"/>
      <c r="G21" s="1648">
        <f t="shared" ref="G21:L21" si="2">(G15+G19+G20)/2</f>
        <v>2.4744223056200001</v>
      </c>
      <c r="H21" s="1649">
        <f t="shared" si="2"/>
        <v>6.4208804933249999</v>
      </c>
      <c r="I21" s="1650">
        <f t="shared" si="2"/>
        <v>10.179867408058001</v>
      </c>
      <c r="J21" s="1651">
        <f t="shared" si="2"/>
        <v>20.3194189535105</v>
      </c>
      <c r="K21" s="1653">
        <f t="shared" si="2"/>
        <v>30.882085995204498</v>
      </c>
      <c r="L21" s="1655">
        <f t="shared" si="2"/>
        <v>30.722098014446999</v>
      </c>
      <c r="M21" s="844" t="s">
        <v>289</v>
      </c>
      <c r="N21" s="301"/>
      <c r="O21" s="281"/>
      <c r="P21" s="281"/>
      <c r="Q21" s="281"/>
      <c r="R21" s="281"/>
      <c r="S21" s="281"/>
      <c r="T21" s="281"/>
      <c r="U21" s="281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/>
      <c r="AT21" s="281"/>
      <c r="AU21" s="281"/>
      <c r="AV21" s="281"/>
      <c r="AW21" s="281"/>
      <c r="AX21" s="281"/>
      <c r="AY21" s="281"/>
      <c r="AZ21" s="281"/>
      <c r="BA21" s="281"/>
      <c r="BB21" s="281"/>
      <c r="BC21" s="281"/>
      <c r="BD21" s="281"/>
      <c r="BE21" s="281"/>
      <c r="BF21" s="281"/>
      <c r="BG21" s="281"/>
      <c r="BH21" s="281"/>
      <c r="BI21" s="281"/>
      <c r="BJ21" s="281"/>
      <c r="BK21" s="281"/>
      <c r="BL21" s="281"/>
      <c r="BM21" s="281"/>
      <c r="BN21" s="281"/>
      <c r="BO21" s="281"/>
      <c r="BP21" s="281"/>
      <c r="BQ21" s="281"/>
      <c r="BR21" s="281"/>
      <c r="BS21" s="281"/>
      <c r="BT21" s="281"/>
      <c r="BU21" s="281"/>
      <c r="BV21" s="281"/>
      <c r="BW21" s="281"/>
      <c r="BX21" s="281"/>
      <c r="BY21" s="281"/>
      <c r="BZ21" s="281"/>
      <c r="CA21" s="281"/>
      <c r="CB21" s="281"/>
      <c r="CC21" s="281"/>
      <c r="CD21" s="281"/>
      <c r="CE21" s="281"/>
      <c r="CF21" s="281"/>
      <c r="CG21" s="281"/>
      <c r="CH21" s="281"/>
      <c r="CI21" s="281"/>
      <c r="CJ21" s="281"/>
      <c r="CK21" s="281"/>
      <c r="CL21" s="281"/>
      <c r="CM21" s="281"/>
      <c r="CN21" s="281"/>
      <c r="CO21" s="281"/>
      <c r="CP21" s="281"/>
      <c r="CQ21" s="281"/>
      <c r="CR21" s="281"/>
      <c r="CS21" s="281"/>
      <c r="CT21" s="281"/>
      <c r="CU21" s="281"/>
      <c r="CV21" s="281"/>
      <c r="CW21" s="281"/>
      <c r="CX21" s="281"/>
      <c r="CY21" s="281"/>
      <c r="CZ21" s="281"/>
      <c r="DA21" s="281"/>
      <c r="DB21" s="281"/>
      <c r="DC21" s="281"/>
      <c r="DD21" s="281"/>
      <c r="DE21" s="281"/>
      <c r="DF21" s="281"/>
      <c r="DG21" s="281"/>
      <c r="DH21" s="281"/>
      <c r="DI21" s="281"/>
      <c r="DJ21" s="281"/>
      <c r="DK21" s="281"/>
      <c r="DL21" s="281"/>
      <c r="DM21" s="281"/>
      <c r="DN21" s="281"/>
      <c r="DO21" s="281"/>
      <c r="DP21" s="281"/>
      <c r="DQ21" s="281"/>
      <c r="DR21" s="281"/>
      <c r="DS21" s="281"/>
      <c r="DT21" s="281"/>
      <c r="DU21" s="281"/>
      <c r="DV21" s="281"/>
      <c r="DW21" s="281"/>
      <c r="DX21" s="281"/>
      <c r="DY21" s="281"/>
      <c r="DZ21" s="281"/>
      <c r="EA21" s="281"/>
      <c r="EB21" s="281"/>
      <c r="EC21" s="281"/>
      <c r="ED21" s="281"/>
      <c r="EE21" s="281"/>
      <c r="EF21" s="281"/>
      <c r="EG21" s="281"/>
      <c r="EH21" s="281"/>
      <c r="EI21" s="281"/>
      <c r="EJ21" s="281"/>
      <c r="EK21" s="281"/>
      <c r="EL21" s="281"/>
      <c r="EM21" s="281"/>
      <c r="EN21" s="281"/>
      <c r="EO21" s="281"/>
      <c r="EP21" s="281"/>
      <c r="EQ21" s="281"/>
      <c r="ER21" s="281"/>
      <c r="ES21" s="281"/>
      <c r="ET21" s="281"/>
      <c r="EU21" s="281"/>
      <c r="EV21" s="281"/>
      <c r="EW21" s="281"/>
      <c r="EX21" s="281"/>
      <c r="EY21" s="281"/>
      <c r="EZ21" s="281"/>
      <c r="FA21" s="281"/>
      <c r="FB21" s="281"/>
      <c r="FC21" s="281"/>
      <c r="FD21" s="281"/>
      <c r="FE21" s="281"/>
      <c r="FF21" s="281"/>
      <c r="FG21" s="281"/>
      <c r="FH21" s="281"/>
      <c r="FI21" s="281"/>
      <c r="FJ21" s="281"/>
      <c r="FK21" s="281"/>
      <c r="FL21" s="281"/>
      <c r="FM21" s="281"/>
      <c r="FN21" s="281"/>
      <c r="FO21" s="281"/>
      <c r="FP21" s="281"/>
      <c r="FQ21" s="281"/>
      <c r="FR21" s="281"/>
      <c r="FS21" s="281"/>
      <c r="FT21" s="281"/>
      <c r="FU21" s="281"/>
      <c r="FV21" s="281"/>
      <c r="FW21" s="281"/>
      <c r="FX21" s="281"/>
      <c r="FY21" s="281"/>
      <c r="FZ21" s="281"/>
      <c r="GA21" s="281"/>
      <c r="GB21" s="281"/>
      <c r="GC21" s="281"/>
      <c r="GD21" s="281"/>
      <c r="GE21" s="281"/>
      <c r="GF21" s="281"/>
      <c r="GG21" s="281"/>
      <c r="GH21" s="281"/>
      <c r="GI21" s="281"/>
      <c r="GJ21" s="281"/>
      <c r="GK21" s="281"/>
      <c r="GL21" s="281"/>
      <c r="GM21" s="281"/>
      <c r="GN21" s="281"/>
      <c r="GO21" s="281"/>
      <c r="GP21" s="281"/>
      <c r="GQ21" s="281"/>
      <c r="GR21" s="281"/>
      <c r="GS21" s="281"/>
      <c r="GT21" s="281"/>
      <c r="GU21" s="281"/>
      <c r="GV21" s="281"/>
      <c r="GW21" s="281"/>
      <c r="GX21" s="281"/>
      <c r="GY21" s="281"/>
      <c r="GZ21" s="281"/>
      <c r="HA21" s="281"/>
      <c r="HB21" s="281"/>
      <c r="HC21" s="281"/>
      <c r="HD21" s="281"/>
      <c r="HE21" s="281"/>
      <c r="HF21" s="281"/>
      <c r="HG21" s="281"/>
      <c r="HH21" s="281"/>
      <c r="HI21" s="281"/>
      <c r="HJ21" s="281"/>
      <c r="HK21" s="281"/>
      <c r="HL21" s="281"/>
      <c r="HM21" s="281"/>
      <c r="HN21" s="281"/>
      <c r="HO21" s="281"/>
      <c r="HP21" s="281"/>
      <c r="HQ21" s="281"/>
      <c r="HR21" s="281"/>
      <c r="HS21" s="281"/>
      <c r="HT21" s="281"/>
      <c r="HU21" s="281"/>
      <c r="HV21" s="281"/>
      <c r="HW21" s="281"/>
      <c r="HX21" s="281"/>
      <c r="HY21" s="281"/>
      <c r="HZ21" s="281"/>
      <c r="IA21" s="281"/>
      <c r="IB21" s="281"/>
      <c r="IC21" s="281"/>
      <c r="ID21" s="281"/>
      <c r="IE21" s="281"/>
      <c r="IF21" s="281"/>
      <c r="IG21" s="281"/>
      <c r="IH21" s="281"/>
      <c r="II21" s="281"/>
      <c r="IJ21" s="281"/>
      <c r="IK21" s="281"/>
      <c r="IL21" s="281"/>
      <c r="IM21" s="281"/>
      <c r="IN21" s="281"/>
      <c r="IO21" s="281"/>
      <c r="IP21" s="281"/>
      <c r="IQ21" s="281"/>
      <c r="IR21" s="281"/>
      <c r="IS21" s="281"/>
      <c r="IT21" s="281"/>
      <c r="IU21" s="282"/>
    </row>
    <row r="22" spans="1:255" ht="18" customHeight="1" x14ac:dyDescent="0.15">
      <c r="A22" s="6"/>
      <c r="B22" s="935" t="s">
        <v>290</v>
      </c>
      <c r="C22" s="1663"/>
      <c r="D22" s="1646">
        <f>SQRT((D21-D20)*(D21-D19)/D21*(D21-D15))</f>
        <v>3.5544509974542297E-3</v>
      </c>
      <c r="E22" s="1657">
        <f>SQRT((E21-E20)*(E21-E19)/E21*(E21-E15))</f>
        <v>0.14337897166408975</v>
      </c>
      <c r="F22" s="1647"/>
      <c r="G22" s="1648">
        <f t="shared" ref="G22:L22" si="3">SQRT((G21-G20)*(G21-G19)/G21*(G21-G15))</f>
        <v>0.11869115493719734</v>
      </c>
      <c r="H22" s="1649">
        <f t="shared" si="3"/>
        <v>0.12670676000241796</v>
      </c>
      <c r="I22" s="1650">
        <f t="shared" si="3"/>
        <v>0.45949319730364768</v>
      </c>
      <c r="J22" s="1651">
        <f t="shared" si="3"/>
        <v>0.44227907110117826</v>
      </c>
      <c r="K22" s="1653">
        <f t="shared" si="3"/>
        <v>0.44408056324622763</v>
      </c>
      <c r="L22" s="1655">
        <f t="shared" si="3"/>
        <v>0.14895999794780707</v>
      </c>
      <c r="M22" s="844" t="s">
        <v>290</v>
      </c>
      <c r="N22" s="301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  <c r="AT22" s="281"/>
      <c r="AU22" s="281"/>
      <c r="AV22" s="281"/>
      <c r="AW22" s="281"/>
      <c r="AX22" s="281"/>
      <c r="AY22" s="281"/>
      <c r="AZ22" s="281"/>
      <c r="BA22" s="281"/>
      <c r="BB22" s="281"/>
      <c r="BC22" s="281"/>
      <c r="BD22" s="281"/>
      <c r="BE22" s="281"/>
      <c r="BF22" s="281"/>
      <c r="BG22" s="281"/>
      <c r="BH22" s="281"/>
      <c r="BI22" s="281"/>
      <c r="BJ22" s="281"/>
      <c r="BK22" s="281"/>
      <c r="BL22" s="281"/>
      <c r="BM22" s="281"/>
      <c r="BN22" s="281"/>
      <c r="BO22" s="281"/>
      <c r="BP22" s="281"/>
      <c r="BQ22" s="281"/>
      <c r="BR22" s="281"/>
      <c r="BS22" s="281"/>
      <c r="BT22" s="281"/>
      <c r="BU22" s="281"/>
      <c r="BV22" s="281"/>
      <c r="BW22" s="281"/>
      <c r="BX22" s="281"/>
      <c r="BY22" s="281"/>
      <c r="BZ22" s="281"/>
      <c r="CA22" s="281"/>
      <c r="CB22" s="281"/>
      <c r="CC22" s="281"/>
      <c r="CD22" s="281"/>
      <c r="CE22" s="281"/>
      <c r="CF22" s="281"/>
      <c r="CG22" s="281"/>
      <c r="CH22" s="281"/>
      <c r="CI22" s="281"/>
      <c r="CJ22" s="281"/>
      <c r="CK22" s="281"/>
      <c r="CL22" s="281"/>
      <c r="CM22" s="281"/>
      <c r="CN22" s="281"/>
      <c r="CO22" s="281"/>
      <c r="CP22" s="281"/>
      <c r="CQ22" s="281"/>
      <c r="CR22" s="281"/>
      <c r="CS22" s="281"/>
      <c r="CT22" s="281"/>
      <c r="CU22" s="281"/>
      <c r="CV22" s="281"/>
      <c r="CW22" s="281"/>
      <c r="CX22" s="281"/>
      <c r="CY22" s="281"/>
      <c r="CZ22" s="281"/>
      <c r="DA22" s="281"/>
      <c r="DB22" s="281"/>
      <c r="DC22" s="281"/>
      <c r="DD22" s="281"/>
      <c r="DE22" s="281"/>
      <c r="DF22" s="281"/>
      <c r="DG22" s="281"/>
      <c r="DH22" s="281"/>
      <c r="DI22" s="281"/>
      <c r="DJ22" s="281"/>
      <c r="DK22" s="281"/>
      <c r="DL22" s="281"/>
      <c r="DM22" s="281"/>
      <c r="DN22" s="281"/>
      <c r="DO22" s="281"/>
      <c r="DP22" s="281"/>
      <c r="DQ22" s="281"/>
      <c r="DR22" s="281"/>
      <c r="DS22" s="281"/>
      <c r="DT22" s="281"/>
      <c r="DU22" s="281"/>
      <c r="DV22" s="281"/>
      <c r="DW22" s="281"/>
      <c r="DX22" s="281"/>
      <c r="DY22" s="281"/>
      <c r="DZ22" s="281"/>
      <c r="EA22" s="281"/>
      <c r="EB22" s="281"/>
      <c r="EC22" s="281"/>
      <c r="ED22" s="281"/>
      <c r="EE22" s="281"/>
      <c r="EF22" s="281"/>
      <c r="EG22" s="281"/>
      <c r="EH22" s="281"/>
      <c r="EI22" s="281"/>
      <c r="EJ22" s="281"/>
      <c r="EK22" s="281"/>
      <c r="EL22" s="281"/>
      <c r="EM22" s="281"/>
      <c r="EN22" s="281"/>
      <c r="EO22" s="281"/>
      <c r="EP22" s="281"/>
      <c r="EQ22" s="281"/>
      <c r="ER22" s="281"/>
      <c r="ES22" s="281"/>
      <c r="ET22" s="281"/>
      <c r="EU22" s="281"/>
      <c r="EV22" s="281"/>
      <c r="EW22" s="281"/>
      <c r="EX22" s="281"/>
      <c r="EY22" s="281"/>
      <c r="EZ22" s="281"/>
      <c r="FA22" s="281"/>
      <c r="FB22" s="281"/>
      <c r="FC22" s="281"/>
      <c r="FD22" s="281"/>
      <c r="FE22" s="281"/>
      <c r="FF22" s="281"/>
      <c r="FG22" s="281"/>
      <c r="FH22" s="281"/>
      <c r="FI22" s="281"/>
      <c r="FJ22" s="281"/>
      <c r="FK22" s="281"/>
      <c r="FL22" s="281"/>
      <c r="FM22" s="281"/>
      <c r="FN22" s="281"/>
      <c r="FO22" s="281"/>
      <c r="FP22" s="281"/>
      <c r="FQ22" s="281"/>
      <c r="FR22" s="281"/>
      <c r="FS22" s="281"/>
      <c r="FT22" s="281"/>
      <c r="FU22" s="281"/>
      <c r="FV22" s="281"/>
      <c r="FW22" s="281"/>
      <c r="FX22" s="281"/>
      <c r="FY22" s="281"/>
      <c r="FZ22" s="281"/>
      <c r="GA22" s="281"/>
      <c r="GB22" s="281"/>
      <c r="GC22" s="281"/>
      <c r="GD22" s="281"/>
      <c r="GE22" s="281"/>
      <c r="GF22" s="281"/>
      <c r="GG22" s="281"/>
      <c r="GH22" s="281"/>
      <c r="GI22" s="281"/>
      <c r="GJ22" s="281"/>
      <c r="GK22" s="281"/>
      <c r="GL22" s="281"/>
      <c r="GM22" s="281"/>
      <c r="GN22" s="281"/>
      <c r="GO22" s="281"/>
      <c r="GP22" s="281"/>
      <c r="GQ22" s="281"/>
      <c r="GR22" s="281"/>
      <c r="GS22" s="281"/>
      <c r="GT22" s="281"/>
      <c r="GU22" s="281"/>
      <c r="GV22" s="281"/>
      <c r="GW22" s="281"/>
      <c r="GX22" s="281"/>
      <c r="GY22" s="281"/>
      <c r="GZ22" s="281"/>
      <c r="HA22" s="281"/>
      <c r="HB22" s="281"/>
      <c r="HC22" s="281"/>
      <c r="HD22" s="281"/>
      <c r="HE22" s="281"/>
      <c r="HF22" s="281"/>
      <c r="HG22" s="281"/>
      <c r="HH22" s="281"/>
      <c r="HI22" s="281"/>
      <c r="HJ22" s="281"/>
      <c r="HK22" s="281"/>
      <c r="HL22" s="281"/>
      <c r="HM22" s="281"/>
      <c r="HN22" s="281"/>
      <c r="HO22" s="281"/>
      <c r="HP22" s="281"/>
      <c r="HQ22" s="281"/>
      <c r="HR22" s="281"/>
      <c r="HS22" s="281"/>
      <c r="HT22" s="281"/>
      <c r="HU22" s="281"/>
      <c r="HV22" s="281"/>
      <c r="HW22" s="281"/>
      <c r="HX22" s="281"/>
      <c r="HY22" s="281"/>
      <c r="HZ22" s="281"/>
      <c r="IA22" s="281"/>
      <c r="IB22" s="281"/>
      <c r="IC22" s="281"/>
      <c r="ID22" s="281"/>
      <c r="IE22" s="281"/>
      <c r="IF22" s="281"/>
      <c r="IG22" s="281"/>
      <c r="IH22" s="281"/>
      <c r="II22" s="281"/>
      <c r="IJ22" s="281"/>
      <c r="IK22" s="281"/>
      <c r="IL22" s="281"/>
      <c r="IM22" s="281"/>
      <c r="IN22" s="281"/>
      <c r="IO22" s="281"/>
      <c r="IP22" s="281"/>
      <c r="IQ22" s="281"/>
      <c r="IR22" s="281"/>
      <c r="IS22" s="281"/>
      <c r="IT22" s="281"/>
      <c r="IU22" s="282"/>
    </row>
    <row r="23" spans="1:255" ht="18" customHeight="1" x14ac:dyDescent="0.15">
      <c r="A23" s="6"/>
      <c r="B23" s="1640" t="s">
        <v>373</v>
      </c>
      <c r="C23" s="1663" t="s">
        <v>474</v>
      </c>
      <c r="D23" s="1646" t="s">
        <v>475</v>
      </c>
      <c r="E23" s="1657" t="s">
        <v>476</v>
      </c>
      <c r="F23" s="1647" t="s">
        <v>474</v>
      </c>
      <c r="G23" s="1648" t="s">
        <v>476</v>
      </c>
      <c r="H23" s="1649" t="s">
        <v>477</v>
      </c>
      <c r="I23" s="1650" t="s">
        <v>476</v>
      </c>
      <c r="J23" s="1651" t="s">
        <v>476</v>
      </c>
      <c r="K23" s="1653" t="s">
        <v>476</v>
      </c>
      <c r="L23" s="1655" t="s">
        <v>475</v>
      </c>
      <c r="M23" s="851"/>
      <c r="N23" s="301"/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O23" s="281"/>
      <c r="AP23" s="281"/>
      <c r="AQ23" s="281"/>
      <c r="AR23" s="281"/>
      <c r="AS23" s="281"/>
      <c r="AT23" s="281"/>
      <c r="AU23" s="281"/>
      <c r="AV23" s="281"/>
      <c r="AW23" s="281"/>
      <c r="AX23" s="281"/>
      <c r="AY23" s="281"/>
      <c r="AZ23" s="281"/>
      <c r="BA23" s="281"/>
      <c r="BB23" s="281"/>
      <c r="BC23" s="281"/>
      <c r="BD23" s="281"/>
      <c r="BE23" s="281"/>
      <c r="BF23" s="281"/>
      <c r="BG23" s="281"/>
      <c r="BH23" s="281"/>
      <c r="BI23" s="281"/>
      <c r="BJ23" s="281"/>
      <c r="BK23" s="281"/>
      <c r="BL23" s="281"/>
      <c r="BM23" s="281"/>
      <c r="BN23" s="281"/>
      <c r="BO23" s="281"/>
      <c r="BP23" s="281"/>
      <c r="BQ23" s="281"/>
      <c r="BR23" s="281"/>
      <c r="BS23" s="281"/>
      <c r="BT23" s="281"/>
      <c r="BU23" s="281"/>
      <c r="BV23" s="281"/>
      <c r="BW23" s="281"/>
      <c r="BX23" s="281"/>
      <c r="BY23" s="281"/>
      <c r="BZ23" s="281"/>
      <c r="CA23" s="281"/>
      <c r="CB23" s="281"/>
      <c r="CC23" s="281"/>
      <c r="CD23" s="281"/>
      <c r="CE23" s="281"/>
      <c r="CF23" s="281"/>
      <c r="CG23" s="281"/>
      <c r="CH23" s="281"/>
      <c r="CI23" s="281"/>
      <c r="CJ23" s="281"/>
      <c r="CK23" s="281"/>
      <c r="CL23" s="281"/>
      <c r="CM23" s="281"/>
      <c r="CN23" s="281"/>
      <c r="CO23" s="281"/>
      <c r="CP23" s="281"/>
      <c r="CQ23" s="281"/>
      <c r="CR23" s="281"/>
      <c r="CS23" s="281"/>
      <c r="CT23" s="281"/>
      <c r="CU23" s="281"/>
      <c r="CV23" s="281"/>
      <c r="CW23" s="281"/>
      <c r="CX23" s="281"/>
      <c r="CY23" s="281"/>
      <c r="CZ23" s="281"/>
      <c r="DA23" s="281"/>
      <c r="DB23" s="281"/>
      <c r="DC23" s="281"/>
      <c r="DD23" s="281"/>
      <c r="DE23" s="281"/>
      <c r="DF23" s="281"/>
      <c r="DG23" s="281"/>
      <c r="DH23" s="281"/>
      <c r="DI23" s="281"/>
      <c r="DJ23" s="281"/>
      <c r="DK23" s="281"/>
      <c r="DL23" s="281"/>
      <c r="DM23" s="281"/>
      <c r="DN23" s="281"/>
      <c r="DO23" s="281"/>
      <c r="DP23" s="281"/>
      <c r="DQ23" s="281"/>
      <c r="DR23" s="281"/>
      <c r="DS23" s="281"/>
      <c r="DT23" s="281"/>
      <c r="DU23" s="281"/>
      <c r="DV23" s="281"/>
      <c r="DW23" s="281"/>
      <c r="DX23" s="281"/>
      <c r="DY23" s="281"/>
      <c r="DZ23" s="281"/>
      <c r="EA23" s="281"/>
      <c r="EB23" s="281"/>
      <c r="EC23" s="281"/>
      <c r="ED23" s="281"/>
      <c r="EE23" s="281"/>
      <c r="EF23" s="281"/>
      <c r="EG23" s="281"/>
      <c r="EH23" s="281"/>
      <c r="EI23" s="281"/>
      <c r="EJ23" s="281"/>
      <c r="EK23" s="281"/>
      <c r="EL23" s="281"/>
      <c r="EM23" s="281"/>
      <c r="EN23" s="281"/>
      <c r="EO23" s="281"/>
      <c r="EP23" s="281"/>
      <c r="EQ23" s="281"/>
      <c r="ER23" s="281"/>
      <c r="ES23" s="281"/>
      <c r="ET23" s="281"/>
      <c r="EU23" s="281"/>
      <c r="EV23" s="281"/>
      <c r="EW23" s="281"/>
      <c r="EX23" s="281"/>
      <c r="EY23" s="281"/>
      <c r="EZ23" s="281"/>
      <c r="FA23" s="281"/>
      <c r="FB23" s="281"/>
      <c r="FC23" s="281"/>
      <c r="FD23" s="281"/>
      <c r="FE23" s="281"/>
      <c r="FF23" s="281"/>
      <c r="FG23" s="281"/>
      <c r="FH23" s="281"/>
      <c r="FI23" s="281"/>
      <c r="FJ23" s="281"/>
      <c r="FK23" s="281"/>
      <c r="FL23" s="281"/>
      <c r="FM23" s="281"/>
      <c r="FN23" s="281"/>
      <c r="FO23" s="281"/>
      <c r="FP23" s="281"/>
      <c r="FQ23" s="281"/>
      <c r="FR23" s="281"/>
      <c r="FS23" s="281"/>
      <c r="FT23" s="281"/>
      <c r="FU23" s="281"/>
      <c r="FV23" s="281"/>
      <c r="FW23" s="281"/>
      <c r="FX23" s="281"/>
      <c r="FY23" s="281"/>
      <c r="FZ23" s="281"/>
      <c r="GA23" s="281"/>
      <c r="GB23" s="281"/>
      <c r="GC23" s="281"/>
      <c r="GD23" s="281"/>
      <c r="GE23" s="281"/>
      <c r="GF23" s="281"/>
      <c r="GG23" s="281"/>
      <c r="GH23" s="281"/>
      <c r="GI23" s="281"/>
      <c r="GJ23" s="281"/>
      <c r="GK23" s="281"/>
      <c r="GL23" s="281"/>
      <c r="GM23" s="281"/>
      <c r="GN23" s="281"/>
      <c r="GO23" s="281"/>
      <c r="GP23" s="281"/>
      <c r="GQ23" s="281"/>
      <c r="GR23" s="281"/>
      <c r="GS23" s="281"/>
      <c r="GT23" s="281"/>
      <c r="GU23" s="281"/>
      <c r="GV23" s="281"/>
      <c r="GW23" s="281"/>
      <c r="GX23" s="281"/>
      <c r="GY23" s="281"/>
      <c r="GZ23" s="281"/>
      <c r="HA23" s="281"/>
      <c r="HB23" s="281"/>
      <c r="HC23" s="281"/>
      <c r="HD23" s="281"/>
      <c r="HE23" s="281"/>
      <c r="HF23" s="281"/>
      <c r="HG23" s="281"/>
      <c r="HH23" s="281"/>
      <c r="HI23" s="281"/>
      <c r="HJ23" s="281"/>
      <c r="HK23" s="281"/>
      <c r="HL23" s="281"/>
      <c r="HM23" s="281"/>
      <c r="HN23" s="281"/>
      <c r="HO23" s="281"/>
      <c r="HP23" s="281"/>
      <c r="HQ23" s="281"/>
      <c r="HR23" s="281"/>
      <c r="HS23" s="281"/>
      <c r="HT23" s="281"/>
      <c r="HU23" s="281"/>
      <c r="HV23" s="281"/>
      <c r="HW23" s="281"/>
      <c r="HX23" s="281"/>
      <c r="HY23" s="281"/>
      <c r="HZ23" s="281"/>
      <c r="IA23" s="281"/>
      <c r="IB23" s="281"/>
      <c r="IC23" s="281"/>
      <c r="ID23" s="281"/>
      <c r="IE23" s="281"/>
      <c r="IF23" s="281"/>
      <c r="IG23" s="281"/>
      <c r="IH23" s="281"/>
      <c r="II23" s="281"/>
      <c r="IJ23" s="281"/>
      <c r="IK23" s="281"/>
      <c r="IL23" s="281"/>
      <c r="IM23" s="281"/>
      <c r="IN23" s="281"/>
      <c r="IO23" s="281"/>
      <c r="IP23" s="281"/>
      <c r="IQ23" s="281"/>
      <c r="IR23" s="281"/>
      <c r="IS23" s="281"/>
      <c r="IT23" s="281"/>
      <c r="IU23" s="282"/>
    </row>
    <row r="24" spans="1:255" ht="18" customHeight="1" x14ac:dyDescent="0.15">
      <c r="A24" s="6"/>
      <c r="B24" s="1652" t="s">
        <v>374</v>
      </c>
      <c r="C24" s="2582">
        <f>90-(C12-C15)*180/0.0005</f>
        <v>89.306196839999984</v>
      </c>
      <c r="D24" s="2583">
        <f>ATAN(D22)*2*180/PI()</f>
        <v>0.40730836595831732</v>
      </c>
      <c r="E24" s="2584">
        <f>ATAN(E22)*2*180/PI()</f>
        <v>16.318801655345855</v>
      </c>
      <c r="F24" s="2585">
        <f>90-(F12-F15)*180/0.037</f>
        <v>49.294221158918845</v>
      </c>
      <c r="G24" s="1672">
        <f>ATAN(G22)*2*180/PI()</f>
        <v>13.537670505587288</v>
      </c>
      <c r="H24" s="2586">
        <f>ATAN(H22)*2*180/PI()</f>
        <v>14.442563435089561</v>
      </c>
      <c r="I24" s="2027">
        <f>90-ATAN(I22)*2*180/PI()</f>
        <v>40.643081509114907</v>
      </c>
      <c r="J24" s="2587">
        <f>ATAN(J22)*2*180/PI()</f>
        <v>47.71760725422282</v>
      </c>
      <c r="K24" s="1673">
        <f>ATAN(K22)*2*180/PI()</f>
        <v>47.890153506839901</v>
      </c>
      <c r="L24" s="2028">
        <f>ATAN(L22)*2*180/PI()</f>
        <v>16.944960461445266</v>
      </c>
      <c r="M24" s="1004" t="s">
        <v>291</v>
      </c>
      <c r="N24" s="301"/>
      <c r="O24" s="281"/>
      <c r="P24" s="281"/>
      <c r="Q24" s="281"/>
      <c r="R24" s="281"/>
      <c r="S24" s="281"/>
      <c r="T24" s="281"/>
      <c r="U24" s="281"/>
      <c r="V24" s="281"/>
      <c r="W24" s="281"/>
      <c r="X24" s="281"/>
      <c r="Y24" s="281"/>
      <c r="Z24" s="281"/>
      <c r="AA24" s="281"/>
      <c r="AB24" s="281"/>
      <c r="AC24" s="281"/>
      <c r="AD24" s="281"/>
      <c r="AE24" s="281"/>
      <c r="AF24" s="281"/>
      <c r="AG24" s="281"/>
      <c r="AH24" s="281"/>
      <c r="AI24" s="281"/>
      <c r="AJ24" s="281"/>
      <c r="AK24" s="281"/>
      <c r="AL24" s="281"/>
      <c r="AM24" s="281"/>
      <c r="AN24" s="281"/>
      <c r="AO24" s="281"/>
      <c r="AP24" s="281"/>
      <c r="AQ24" s="281"/>
      <c r="AR24" s="281"/>
      <c r="AS24" s="281"/>
      <c r="AT24" s="281"/>
      <c r="AU24" s="281"/>
      <c r="AV24" s="281"/>
      <c r="AW24" s="281"/>
      <c r="AX24" s="281"/>
      <c r="AY24" s="281"/>
      <c r="AZ24" s="281"/>
      <c r="BA24" s="281"/>
      <c r="BB24" s="281"/>
      <c r="BC24" s="281"/>
      <c r="BD24" s="281"/>
      <c r="BE24" s="281"/>
      <c r="BF24" s="281"/>
      <c r="BG24" s="281"/>
      <c r="BH24" s="281"/>
      <c r="BI24" s="281"/>
      <c r="BJ24" s="281"/>
      <c r="BK24" s="281"/>
      <c r="BL24" s="281"/>
      <c r="BM24" s="281"/>
      <c r="BN24" s="281"/>
      <c r="BO24" s="281"/>
      <c r="BP24" s="281"/>
      <c r="BQ24" s="281"/>
      <c r="BR24" s="281"/>
      <c r="BS24" s="281"/>
      <c r="BT24" s="281"/>
      <c r="BU24" s="281"/>
      <c r="BV24" s="281"/>
      <c r="BW24" s="281"/>
      <c r="BX24" s="281"/>
      <c r="BY24" s="281"/>
      <c r="BZ24" s="281"/>
      <c r="CA24" s="281"/>
      <c r="CB24" s="281"/>
      <c r="CC24" s="281"/>
      <c r="CD24" s="281"/>
      <c r="CE24" s="281"/>
      <c r="CF24" s="281"/>
      <c r="CG24" s="281"/>
      <c r="CH24" s="281"/>
      <c r="CI24" s="281"/>
      <c r="CJ24" s="281"/>
      <c r="CK24" s="281"/>
      <c r="CL24" s="281"/>
      <c r="CM24" s="281"/>
      <c r="CN24" s="281"/>
      <c r="CO24" s="281"/>
      <c r="CP24" s="281"/>
      <c r="CQ24" s="281"/>
      <c r="CR24" s="281"/>
      <c r="CS24" s="281"/>
      <c r="CT24" s="281"/>
      <c r="CU24" s="281"/>
      <c r="CV24" s="281"/>
      <c r="CW24" s="281"/>
      <c r="CX24" s="281"/>
      <c r="CY24" s="281"/>
      <c r="CZ24" s="281"/>
      <c r="DA24" s="281"/>
      <c r="DB24" s="281"/>
      <c r="DC24" s="281"/>
      <c r="DD24" s="281"/>
      <c r="DE24" s="281"/>
      <c r="DF24" s="281"/>
      <c r="DG24" s="281"/>
      <c r="DH24" s="281"/>
      <c r="DI24" s="281"/>
      <c r="DJ24" s="281"/>
      <c r="DK24" s="281"/>
      <c r="DL24" s="281"/>
      <c r="DM24" s="281"/>
      <c r="DN24" s="281"/>
      <c r="DO24" s="281"/>
      <c r="DP24" s="281"/>
      <c r="DQ24" s="281"/>
      <c r="DR24" s="281"/>
      <c r="DS24" s="281"/>
      <c r="DT24" s="281"/>
      <c r="DU24" s="281"/>
      <c r="DV24" s="281"/>
      <c r="DW24" s="281"/>
      <c r="DX24" s="281"/>
      <c r="DY24" s="281"/>
      <c r="DZ24" s="281"/>
      <c r="EA24" s="281"/>
      <c r="EB24" s="281"/>
      <c r="EC24" s="281"/>
      <c r="ED24" s="281"/>
      <c r="EE24" s="281"/>
      <c r="EF24" s="281"/>
      <c r="EG24" s="281"/>
      <c r="EH24" s="281"/>
      <c r="EI24" s="281"/>
      <c r="EJ24" s="281"/>
      <c r="EK24" s="281"/>
      <c r="EL24" s="281"/>
      <c r="EM24" s="281"/>
      <c r="EN24" s="281"/>
      <c r="EO24" s="281"/>
      <c r="EP24" s="281"/>
      <c r="EQ24" s="281"/>
      <c r="ER24" s="281"/>
      <c r="ES24" s="281"/>
      <c r="ET24" s="281"/>
      <c r="EU24" s="281"/>
      <c r="EV24" s="281"/>
      <c r="EW24" s="281"/>
      <c r="EX24" s="281"/>
      <c r="EY24" s="281"/>
      <c r="EZ24" s="281"/>
      <c r="FA24" s="281"/>
      <c r="FB24" s="281"/>
      <c r="FC24" s="281"/>
      <c r="FD24" s="281"/>
      <c r="FE24" s="281"/>
      <c r="FF24" s="281"/>
      <c r="FG24" s="281"/>
      <c r="FH24" s="281"/>
      <c r="FI24" s="281"/>
      <c r="FJ24" s="281"/>
      <c r="FK24" s="281"/>
      <c r="FL24" s="281"/>
      <c r="FM24" s="281"/>
      <c r="FN24" s="281"/>
      <c r="FO24" s="281"/>
      <c r="FP24" s="281"/>
      <c r="FQ24" s="281"/>
      <c r="FR24" s="281"/>
      <c r="FS24" s="281"/>
      <c r="FT24" s="281"/>
      <c r="FU24" s="281"/>
      <c r="FV24" s="281"/>
      <c r="FW24" s="281"/>
      <c r="FX24" s="281"/>
      <c r="FY24" s="281"/>
      <c r="FZ24" s="281"/>
      <c r="GA24" s="281"/>
      <c r="GB24" s="281"/>
      <c r="GC24" s="281"/>
      <c r="GD24" s="281"/>
      <c r="GE24" s="281"/>
      <c r="GF24" s="281"/>
      <c r="GG24" s="281"/>
      <c r="GH24" s="281"/>
      <c r="GI24" s="281"/>
      <c r="GJ24" s="281"/>
      <c r="GK24" s="281"/>
      <c r="GL24" s="281"/>
      <c r="GM24" s="281"/>
      <c r="GN24" s="281"/>
      <c r="GO24" s="281"/>
      <c r="GP24" s="281"/>
      <c r="GQ24" s="281"/>
      <c r="GR24" s="281"/>
      <c r="GS24" s="281"/>
      <c r="GT24" s="281"/>
      <c r="GU24" s="281"/>
      <c r="GV24" s="281"/>
      <c r="GW24" s="281"/>
      <c r="GX24" s="281"/>
      <c r="GY24" s="281"/>
      <c r="GZ24" s="281"/>
      <c r="HA24" s="281"/>
      <c r="HB24" s="281"/>
      <c r="HC24" s="281"/>
      <c r="HD24" s="281"/>
      <c r="HE24" s="281"/>
      <c r="HF24" s="281"/>
      <c r="HG24" s="281"/>
      <c r="HH24" s="281"/>
      <c r="HI24" s="281"/>
      <c r="HJ24" s="281"/>
      <c r="HK24" s="281"/>
      <c r="HL24" s="281"/>
      <c r="HM24" s="281"/>
      <c r="HN24" s="281"/>
      <c r="HO24" s="281"/>
      <c r="HP24" s="281"/>
      <c r="HQ24" s="281"/>
      <c r="HR24" s="281"/>
      <c r="HS24" s="281"/>
      <c r="HT24" s="281"/>
      <c r="HU24" s="281"/>
      <c r="HV24" s="281"/>
      <c r="HW24" s="281"/>
      <c r="HX24" s="281"/>
      <c r="HY24" s="281"/>
      <c r="HZ24" s="281"/>
      <c r="IA24" s="281"/>
      <c r="IB24" s="281"/>
      <c r="IC24" s="281"/>
      <c r="ID24" s="281"/>
      <c r="IE24" s="281"/>
      <c r="IF24" s="281"/>
      <c r="IG24" s="281"/>
      <c r="IH24" s="281"/>
      <c r="II24" s="281"/>
      <c r="IJ24" s="281"/>
      <c r="IK24" s="281"/>
      <c r="IL24" s="281"/>
      <c r="IM24" s="281"/>
      <c r="IN24" s="281"/>
      <c r="IO24" s="281"/>
      <c r="IP24" s="281"/>
      <c r="IQ24" s="281"/>
      <c r="IR24" s="281"/>
      <c r="IS24" s="281"/>
      <c r="IT24" s="281"/>
      <c r="IU24" s="282"/>
    </row>
    <row r="25" spans="1:255" ht="18" customHeight="1" x14ac:dyDescent="0.15">
      <c r="A25" s="6"/>
      <c r="B25" s="886" t="s">
        <v>68</v>
      </c>
      <c r="C25" s="1513"/>
      <c r="D25" s="887">
        <v>5</v>
      </c>
      <c r="E25" s="1515">
        <v>3</v>
      </c>
      <c r="F25" s="889">
        <v>5</v>
      </c>
      <c r="G25" s="890">
        <v>3</v>
      </c>
      <c r="H25" s="1006">
        <v>3</v>
      </c>
      <c r="I25" s="891"/>
      <c r="J25" s="1007">
        <v>1</v>
      </c>
      <c r="K25" s="892">
        <v>1</v>
      </c>
      <c r="L25" s="1008">
        <v>3</v>
      </c>
      <c r="M25" s="893" t="s">
        <v>68</v>
      </c>
      <c r="N25" s="301"/>
      <c r="O25" s="1009"/>
      <c r="P25" s="1010"/>
      <c r="Q25" s="1011"/>
      <c r="R25" s="1012"/>
      <c r="S25" s="1013"/>
      <c r="T25" s="1014"/>
      <c r="U25" s="1015"/>
      <c r="V25" s="1016"/>
      <c r="W25" s="1017"/>
      <c r="X25" s="1018"/>
      <c r="Y25" s="281"/>
      <c r="Z25" s="1009"/>
      <c r="AA25" s="1010"/>
      <c r="AB25" s="1011"/>
      <c r="AC25" s="1012"/>
      <c r="AD25" s="1013"/>
      <c r="AE25" s="1014"/>
      <c r="AF25" s="1015"/>
      <c r="AG25" s="1016"/>
      <c r="AH25" s="1017"/>
      <c r="AI25" s="1018"/>
      <c r="AJ25" s="281"/>
      <c r="AK25" s="1009"/>
      <c r="AL25" s="1010"/>
      <c r="AM25" s="1011"/>
      <c r="AN25" s="1012"/>
      <c r="AO25" s="1013"/>
      <c r="AP25" s="1014"/>
      <c r="AQ25" s="1015"/>
      <c r="AR25" s="1016"/>
      <c r="AS25" s="1017"/>
      <c r="AT25" s="1018"/>
      <c r="AU25" s="281"/>
      <c r="AV25" s="1009"/>
      <c r="AW25" s="1010"/>
      <c r="AX25" s="1011"/>
      <c r="AY25" s="1012"/>
      <c r="AZ25" s="1013"/>
      <c r="BA25" s="1014"/>
      <c r="BB25" s="1015"/>
      <c r="BC25" s="1016"/>
      <c r="BD25" s="1017"/>
      <c r="BE25" s="1018"/>
      <c r="BF25" s="281"/>
      <c r="BG25" s="1009"/>
      <c r="BH25" s="1010"/>
      <c r="BI25" s="1011"/>
      <c r="BJ25" s="1012"/>
      <c r="BK25" s="1013"/>
      <c r="BL25" s="1014"/>
      <c r="BM25" s="1015"/>
      <c r="BN25" s="1016"/>
      <c r="BO25" s="1017"/>
      <c r="BP25" s="1018"/>
      <c r="BQ25" s="281"/>
      <c r="BR25" s="1009"/>
      <c r="BS25" s="1010"/>
      <c r="BT25" s="1011"/>
      <c r="BU25" s="1012"/>
      <c r="BV25" s="1013"/>
      <c r="BW25" s="1014"/>
      <c r="BX25" s="1015"/>
      <c r="BY25" s="1016"/>
      <c r="BZ25" s="1017"/>
      <c r="CA25" s="1018"/>
      <c r="CB25" s="281"/>
      <c r="CC25" s="1009"/>
      <c r="CD25" s="1010"/>
      <c r="CE25" s="1011"/>
      <c r="CF25" s="1012"/>
      <c r="CG25" s="1013"/>
      <c r="CH25" s="1014"/>
      <c r="CI25" s="1015"/>
      <c r="CJ25" s="1016"/>
      <c r="CK25" s="1017"/>
      <c r="CL25" s="1018"/>
      <c r="CM25" s="281"/>
      <c r="CN25" s="1009"/>
      <c r="CO25" s="1010"/>
      <c r="CP25" s="1011"/>
      <c r="CQ25" s="1012"/>
      <c r="CR25" s="1013"/>
      <c r="CS25" s="1014"/>
      <c r="CT25" s="1015"/>
      <c r="CU25" s="1016"/>
      <c r="CV25" s="1017"/>
      <c r="CW25" s="1018"/>
      <c r="CX25" s="281"/>
      <c r="CY25" s="1009"/>
      <c r="CZ25" s="1010"/>
      <c r="DA25" s="1011"/>
      <c r="DB25" s="1012"/>
      <c r="DC25" s="1013"/>
      <c r="DD25" s="1014"/>
      <c r="DE25" s="1015"/>
      <c r="DF25" s="1016"/>
      <c r="DG25" s="1017"/>
      <c r="DH25" s="1018"/>
      <c r="DI25" s="281"/>
      <c r="DJ25" s="1009"/>
      <c r="DK25" s="1010"/>
      <c r="DL25" s="1011"/>
      <c r="DM25" s="1012"/>
      <c r="DN25" s="1013"/>
      <c r="DO25" s="1014"/>
      <c r="DP25" s="1015"/>
      <c r="DQ25" s="1016"/>
      <c r="DR25" s="1017"/>
      <c r="DS25" s="1018"/>
      <c r="DT25" s="281"/>
      <c r="DU25" s="1009"/>
      <c r="DV25" s="1010"/>
      <c r="DW25" s="1011"/>
      <c r="DX25" s="1012"/>
      <c r="DY25" s="1013"/>
      <c r="DZ25" s="1014"/>
      <c r="EA25" s="1015"/>
      <c r="EB25" s="1016"/>
      <c r="EC25" s="1017"/>
      <c r="ED25" s="1018"/>
      <c r="EE25" s="281"/>
      <c r="EF25" s="1009"/>
      <c r="EG25" s="1010"/>
      <c r="EH25" s="1011"/>
      <c r="EI25" s="1012"/>
      <c r="EJ25" s="1013"/>
      <c r="EK25" s="1014"/>
      <c r="EL25" s="1015"/>
      <c r="EM25" s="1016"/>
      <c r="EN25" s="1017"/>
      <c r="EO25" s="1018"/>
      <c r="EP25" s="281"/>
      <c r="EQ25" s="1009"/>
      <c r="ER25" s="1010"/>
      <c r="ES25" s="1011"/>
      <c r="ET25" s="1012"/>
      <c r="EU25" s="1013"/>
      <c r="EV25" s="1014"/>
      <c r="EW25" s="1015"/>
      <c r="EX25" s="1016"/>
      <c r="EY25" s="1017"/>
      <c r="EZ25" s="1018"/>
      <c r="FA25" s="281"/>
      <c r="FB25" s="1009"/>
      <c r="FC25" s="1010"/>
      <c r="FD25" s="1011"/>
      <c r="FE25" s="1012"/>
      <c r="FF25" s="1013"/>
      <c r="FG25" s="1014"/>
      <c r="FH25" s="1015"/>
      <c r="FI25" s="1016"/>
      <c r="FJ25" s="1017"/>
      <c r="FK25" s="1018"/>
      <c r="FL25" s="281"/>
      <c r="FM25" s="1009"/>
      <c r="FN25" s="1010"/>
      <c r="FO25" s="1011"/>
      <c r="FP25" s="1012"/>
      <c r="FQ25" s="1013"/>
      <c r="FR25" s="1014"/>
      <c r="FS25" s="1015"/>
      <c r="FT25" s="1016"/>
      <c r="FU25" s="1017"/>
      <c r="FV25" s="1018"/>
      <c r="FW25" s="281"/>
      <c r="FX25" s="1009"/>
      <c r="FY25" s="1010"/>
      <c r="FZ25" s="1011"/>
      <c r="GA25" s="1012"/>
      <c r="GB25" s="1013"/>
      <c r="GC25" s="1014"/>
      <c r="GD25" s="1015"/>
      <c r="GE25" s="1016"/>
      <c r="GF25" s="1017"/>
      <c r="GG25" s="1018"/>
      <c r="GH25" s="281"/>
      <c r="GI25" s="1009"/>
      <c r="GJ25" s="1010"/>
      <c r="GK25" s="1011"/>
      <c r="GL25" s="1012"/>
      <c r="GM25" s="1013"/>
      <c r="GN25" s="1014"/>
      <c r="GO25" s="1015"/>
      <c r="GP25" s="1016"/>
      <c r="GQ25" s="1017"/>
      <c r="GR25" s="1018"/>
      <c r="GS25" s="281"/>
      <c r="GT25" s="1009"/>
      <c r="GU25" s="1010"/>
      <c r="GV25" s="1011"/>
      <c r="GW25" s="1012"/>
      <c r="GX25" s="1013"/>
      <c r="GY25" s="1014"/>
      <c r="GZ25" s="1015"/>
      <c r="HA25" s="1016"/>
      <c r="HB25" s="1017"/>
      <c r="HC25" s="1018"/>
      <c r="HD25" s="281"/>
      <c r="HE25" s="1009"/>
      <c r="HF25" s="1010"/>
      <c r="HG25" s="1011"/>
      <c r="HH25" s="1012"/>
      <c r="HI25" s="1013"/>
      <c r="HJ25" s="1014"/>
      <c r="HK25" s="1015"/>
      <c r="HL25" s="1016"/>
      <c r="HM25" s="1017"/>
      <c r="HN25" s="1018"/>
      <c r="HO25" s="281"/>
      <c r="HP25" s="1009"/>
      <c r="HQ25" s="1010"/>
      <c r="HR25" s="1011"/>
      <c r="HS25" s="1012"/>
      <c r="HT25" s="1013"/>
      <c r="HU25" s="1014"/>
      <c r="HV25" s="1015"/>
      <c r="HW25" s="1016"/>
      <c r="HX25" s="1017"/>
      <c r="HY25" s="1018"/>
      <c r="HZ25" s="281"/>
      <c r="IA25" s="1009"/>
      <c r="IB25" s="1010"/>
      <c r="IC25" s="1011"/>
      <c r="ID25" s="1012"/>
      <c r="IE25" s="1013"/>
      <c r="IF25" s="1014"/>
      <c r="IG25" s="1015"/>
      <c r="IH25" s="1016"/>
      <c r="II25" s="1017"/>
      <c r="IJ25" s="1018"/>
      <c r="IK25" s="281"/>
      <c r="IL25" s="1009"/>
      <c r="IM25" s="1010"/>
      <c r="IN25" s="1011"/>
      <c r="IO25" s="1012"/>
      <c r="IP25" s="1013"/>
      <c r="IQ25" s="1014"/>
      <c r="IR25" s="1015"/>
      <c r="IS25" s="1016"/>
      <c r="IT25" s="1017"/>
      <c r="IU25" s="1019"/>
    </row>
    <row r="26" spans="1:255" ht="18" customHeight="1" x14ac:dyDescent="0.15">
      <c r="A26" s="6"/>
      <c r="B26" s="894" t="s">
        <v>69</v>
      </c>
      <c r="C26" s="1513"/>
      <c r="D26" s="887"/>
      <c r="E26" s="1515"/>
      <c r="F26" s="889"/>
      <c r="G26" s="890"/>
      <c r="H26" s="1006"/>
      <c r="I26" s="891"/>
      <c r="J26" s="1007"/>
      <c r="K26" s="892"/>
      <c r="L26" s="1008"/>
      <c r="M26" s="895" t="s">
        <v>69</v>
      </c>
      <c r="N26" s="301"/>
      <c r="O26" s="1009"/>
      <c r="P26" s="1010"/>
      <c r="Q26" s="1011"/>
      <c r="R26" s="1012"/>
      <c r="S26" s="1013"/>
      <c r="T26" s="1014"/>
      <c r="U26" s="1015"/>
      <c r="V26" s="1016"/>
      <c r="W26" s="1017"/>
      <c r="X26" s="1018"/>
      <c r="Y26" s="281"/>
      <c r="Z26" s="1009"/>
      <c r="AA26" s="1010"/>
      <c r="AB26" s="1011"/>
      <c r="AC26" s="1012"/>
      <c r="AD26" s="1013"/>
      <c r="AE26" s="1014"/>
      <c r="AF26" s="1015"/>
      <c r="AG26" s="1016"/>
      <c r="AH26" s="1017"/>
      <c r="AI26" s="1018"/>
      <c r="AJ26" s="281"/>
      <c r="AK26" s="1009"/>
      <c r="AL26" s="1010"/>
      <c r="AM26" s="1011"/>
      <c r="AN26" s="1012"/>
      <c r="AO26" s="1013"/>
      <c r="AP26" s="1014"/>
      <c r="AQ26" s="1015"/>
      <c r="AR26" s="1016"/>
      <c r="AS26" s="1017"/>
      <c r="AT26" s="1018"/>
      <c r="AU26" s="281"/>
      <c r="AV26" s="1009"/>
      <c r="AW26" s="1010"/>
      <c r="AX26" s="1011"/>
      <c r="AY26" s="1012"/>
      <c r="AZ26" s="1013"/>
      <c r="BA26" s="1014"/>
      <c r="BB26" s="1015"/>
      <c r="BC26" s="1016"/>
      <c r="BD26" s="1017"/>
      <c r="BE26" s="1018"/>
      <c r="BF26" s="281"/>
      <c r="BG26" s="1009"/>
      <c r="BH26" s="1010"/>
      <c r="BI26" s="1011"/>
      <c r="BJ26" s="1012"/>
      <c r="BK26" s="1013"/>
      <c r="BL26" s="1014"/>
      <c r="BM26" s="1015"/>
      <c r="BN26" s="1016"/>
      <c r="BO26" s="1017"/>
      <c r="BP26" s="1018"/>
      <c r="BQ26" s="281"/>
      <c r="BR26" s="1009"/>
      <c r="BS26" s="1010"/>
      <c r="BT26" s="1011"/>
      <c r="BU26" s="1012"/>
      <c r="BV26" s="1013"/>
      <c r="BW26" s="1014"/>
      <c r="BX26" s="1015"/>
      <c r="BY26" s="1016"/>
      <c r="BZ26" s="1017"/>
      <c r="CA26" s="1018"/>
      <c r="CB26" s="281"/>
      <c r="CC26" s="1009"/>
      <c r="CD26" s="1010"/>
      <c r="CE26" s="1011"/>
      <c r="CF26" s="1012"/>
      <c r="CG26" s="1013"/>
      <c r="CH26" s="1014"/>
      <c r="CI26" s="1015"/>
      <c r="CJ26" s="1016"/>
      <c r="CK26" s="1017"/>
      <c r="CL26" s="1018"/>
      <c r="CM26" s="281"/>
      <c r="CN26" s="1009"/>
      <c r="CO26" s="1010"/>
      <c r="CP26" s="1011"/>
      <c r="CQ26" s="1012"/>
      <c r="CR26" s="1013"/>
      <c r="CS26" s="1014"/>
      <c r="CT26" s="1015"/>
      <c r="CU26" s="1016"/>
      <c r="CV26" s="1017"/>
      <c r="CW26" s="1018"/>
      <c r="CX26" s="281"/>
      <c r="CY26" s="1009"/>
      <c r="CZ26" s="1010"/>
      <c r="DA26" s="1011"/>
      <c r="DB26" s="1012"/>
      <c r="DC26" s="1013"/>
      <c r="DD26" s="1014"/>
      <c r="DE26" s="1015"/>
      <c r="DF26" s="1016"/>
      <c r="DG26" s="1017"/>
      <c r="DH26" s="1018"/>
      <c r="DI26" s="281"/>
      <c r="DJ26" s="1009"/>
      <c r="DK26" s="1010"/>
      <c r="DL26" s="1011"/>
      <c r="DM26" s="1012"/>
      <c r="DN26" s="1013"/>
      <c r="DO26" s="1014"/>
      <c r="DP26" s="1015"/>
      <c r="DQ26" s="1016"/>
      <c r="DR26" s="1017"/>
      <c r="DS26" s="1018"/>
      <c r="DT26" s="281"/>
      <c r="DU26" s="1009"/>
      <c r="DV26" s="1010"/>
      <c r="DW26" s="1011"/>
      <c r="DX26" s="1012"/>
      <c r="DY26" s="1013"/>
      <c r="DZ26" s="1014"/>
      <c r="EA26" s="1015"/>
      <c r="EB26" s="1016"/>
      <c r="EC26" s="1017"/>
      <c r="ED26" s="1018"/>
      <c r="EE26" s="281"/>
      <c r="EF26" s="1009"/>
      <c r="EG26" s="1010"/>
      <c r="EH26" s="1011"/>
      <c r="EI26" s="1012"/>
      <c r="EJ26" s="1013"/>
      <c r="EK26" s="1014"/>
      <c r="EL26" s="1015"/>
      <c r="EM26" s="1016"/>
      <c r="EN26" s="1017"/>
      <c r="EO26" s="1018"/>
      <c r="EP26" s="281"/>
      <c r="EQ26" s="1009"/>
      <c r="ER26" s="1010"/>
      <c r="ES26" s="1011"/>
      <c r="ET26" s="1012"/>
      <c r="EU26" s="1013"/>
      <c r="EV26" s="1014"/>
      <c r="EW26" s="1015"/>
      <c r="EX26" s="1016"/>
      <c r="EY26" s="1017"/>
      <c r="EZ26" s="1018"/>
      <c r="FA26" s="281"/>
      <c r="FB26" s="1009"/>
      <c r="FC26" s="1010"/>
      <c r="FD26" s="1011"/>
      <c r="FE26" s="1012"/>
      <c r="FF26" s="1013"/>
      <c r="FG26" s="1014"/>
      <c r="FH26" s="1015"/>
      <c r="FI26" s="1016"/>
      <c r="FJ26" s="1017"/>
      <c r="FK26" s="1018"/>
      <c r="FL26" s="281"/>
      <c r="FM26" s="1009"/>
      <c r="FN26" s="1010"/>
      <c r="FO26" s="1011"/>
      <c r="FP26" s="1012"/>
      <c r="FQ26" s="1013"/>
      <c r="FR26" s="1014"/>
      <c r="FS26" s="1015"/>
      <c r="FT26" s="1016"/>
      <c r="FU26" s="1017"/>
      <c r="FV26" s="1018"/>
      <c r="FW26" s="281"/>
      <c r="FX26" s="1009"/>
      <c r="FY26" s="1010"/>
      <c r="FZ26" s="1011"/>
      <c r="GA26" s="1012"/>
      <c r="GB26" s="1013"/>
      <c r="GC26" s="1014"/>
      <c r="GD26" s="1015"/>
      <c r="GE26" s="1016"/>
      <c r="GF26" s="1017"/>
      <c r="GG26" s="1018"/>
      <c r="GH26" s="281"/>
      <c r="GI26" s="1009"/>
      <c r="GJ26" s="1010"/>
      <c r="GK26" s="1011"/>
      <c r="GL26" s="1012"/>
      <c r="GM26" s="1013"/>
      <c r="GN26" s="1014"/>
      <c r="GO26" s="1015"/>
      <c r="GP26" s="1016"/>
      <c r="GQ26" s="1017"/>
      <c r="GR26" s="1018"/>
      <c r="GS26" s="281"/>
      <c r="GT26" s="1009"/>
      <c r="GU26" s="1010"/>
      <c r="GV26" s="1011"/>
      <c r="GW26" s="1012"/>
      <c r="GX26" s="1013"/>
      <c r="GY26" s="1014"/>
      <c r="GZ26" s="1015"/>
      <c r="HA26" s="1016"/>
      <c r="HB26" s="1017"/>
      <c r="HC26" s="1018"/>
      <c r="HD26" s="281"/>
      <c r="HE26" s="1009"/>
      <c r="HF26" s="1010"/>
      <c r="HG26" s="1011"/>
      <c r="HH26" s="1012"/>
      <c r="HI26" s="1013"/>
      <c r="HJ26" s="1014"/>
      <c r="HK26" s="1015"/>
      <c r="HL26" s="1016"/>
      <c r="HM26" s="1017"/>
      <c r="HN26" s="1018"/>
      <c r="HO26" s="281"/>
      <c r="HP26" s="1009"/>
      <c r="HQ26" s="1010"/>
      <c r="HR26" s="1011"/>
      <c r="HS26" s="1012"/>
      <c r="HT26" s="1013"/>
      <c r="HU26" s="1014"/>
      <c r="HV26" s="1015"/>
      <c r="HW26" s="1016"/>
      <c r="HX26" s="1017"/>
      <c r="HY26" s="1018"/>
      <c r="HZ26" s="281"/>
      <c r="IA26" s="1009"/>
      <c r="IB26" s="1010"/>
      <c r="IC26" s="1011"/>
      <c r="ID26" s="1012"/>
      <c r="IE26" s="1013"/>
      <c r="IF26" s="1014"/>
      <c r="IG26" s="1015"/>
      <c r="IH26" s="1016"/>
      <c r="II26" s="1017"/>
      <c r="IJ26" s="1018"/>
      <c r="IK26" s="281"/>
      <c r="IL26" s="1009"/>
      <c r="IM26" s="1010"/>
      <c r="IN26" s="1011"/>
      <c r="IO26" s="1012"/>
      <c r="IP26" s="1013"/>
      <c r="IQ26" s="1014"/>
      <c r="IR26" s="1015"/>
      <c r="IS26" s="1016"/>
      <c r="IT26" s="1017"/>
      <c r="IU26" s="1019"/>
    </row>
    <row r="27" spans="1:255" ht="18" customHeight="1" x14ac:dyDescent="0.15">
      <c r="A27" s="6"/>
      <c r="B27" s="896" t="s">
        <v>105</v>
      </c>
      <c r="C27" s="1513">
        <v>2</v>
      </c>
      <c r="D27" s="887"/>
      <c r="E27" s="1515">
        <v>1</v>
      </c>
      <c r="F27" s="889"/>
      <c r="G27" s="890">
        <v>1</v>
      </c>
      <c r="H27" s="1006">
        <v>1</v>
      </c>
      <c r="I27" s="891">
        <v>2</v>
      </c>
      <c r="J27" s="1007"/>
      <c r="K27" s="892"/>
      <c r="L27" s="1008">
        <v>1</v>
      </c>
      <c r="M27" s="897" t="s">
        <v>105</v>
      </c>
      <c r="N27" s="301"/>
      <c r="O27" s="1009"/>
      <c r="P27" s="1010"/>
      <c r="Q27" s="1011"/>
      <c r="R27" s="1012"/>
      <c r="S27" s="1013"/>
      <c r="T27" s="1014"/>
      <c r="U27" s="1015"/>
      <c r="V27" s="1016"/>
      <c r="W27" s="1017"/>
      <c r="X27" s="1018"/>
      <c r="Y27" s="281"/>
      <c r="Z27" s="1009"/>
      <c r="AA27" s="1010"/>
      <c r="AB27" s="1011"/>
      <c r="AC27" s="1012"/>
      <c r="AD27" s="1013"/>
      <c r="AE27" s="1014"/>
      <c r="AF27" s="1015"/>
      <c r="AG27" s="1016"/>
      <c r="AH27" s="1017"/>
      <c r="AI27" s="1018"/>
      <c r="AJ27" s="281"/>
      <c r="AK27" s="1009"/>
      <c r="AL27" s="1010"/>
      <c r="AM27" s="1011"/>
      <c r="AN27" s="1012"/>
      <c r="AO27" s="1013"/>
      <c r="AP27" s="1014"/>
      <c r="AQ27" s="1015"/>
      <c r="AR27" s="1016"/>
      <c r="AS27" s="1017"/>
      <c r="AT27" s="1018"/>
      <c r="AU27" s="281"/>
      <c r="AV27" s="1009"/>
      <c r="AW27" s="1010"/>
      <c r="AX27" s="1011"/>
      <c r="AY27" s="1012"/>
      <c r="AZ27" s="1013"/>
      <c r="BA27" s="1014"/>
      <c r="BB27" s="1015"/>
      <c r="BC27" s="1016"/>
      <c r="BD27" s="1017"/>
      <c r="BE27" s="1018"/>
      <c r="BF27" s="281"/>
      <c r="BG27" s="1009"/>
      <c r="BH27" s="1010"/>
      <c r="BI27" s="1011"/>
      <c r="BJ27" s="1012"/>
      <c r="BK27" s="1013"/>
      <c r="BL27" s="1014"/>
      <c r="BM27" s="1015"/>
      <c r="BN27" s="1016"/>
      <c r="BO27" s="1017"/>
      <c r="BP27" s="1018"/>
      <c r="BQ27" s="281"/>
      <c r="BR27" s="1009"/>
      <c r="BS27" s="1010"/>
      <c r="BT27" s="1011"/>
      <c r="BU27" s="1012"/>
      <c r="BV27" s="1013"/>
      <c r="BW27" s="1014"/>
      <c r="BX27" s="1015"/>
      <c r="BY27" s="1016"/>
      <c r="BZ27" s="1017"/>
      <c r="CA27" s="1018"/>
      <c r="CB27" s="281"/>
      <c r="CC27" s="1009"/>
      <c r="CD27" s="1010"/>
      <c r="CE27" s="1011"/>
      <c r="CF27" s="1012"/>
      <c r="CG27" s="1013"/>
      <c r="CH27" s="1014"/>
      <c r="CI27" s="1015"/>
      <c r="CJ27" s="1016"/>
      <c r="CK27" s="1017"/>
      <c r="CL27" s="1018"/>
      <c r="CM27" s="281"/>
      <c r="CN27" s="1009"/>
      <c r="CO27" s="1010"/>
      <c r="CP27" s="1011"/>
      <c r="CQ27" s="1012"/>
      <c r="CR27" s="1013"/>
      <c r="CS27" s="1014"/>
      <c r="CT27" s="1015"/>
      <c r="CU27" s="1016"/>
      <c r="CV27" s="1017"/>
      <c r="CW27" s="1018"/>
      <c r="CX27" s="281"/>
      <c r="CY27" s="1009"/>
      <c r="CZ27" s="1010"/>
      <c r="DA27" s="1011"/>
      <c r="DB27" s="1012"/>
      <c r="DC27" s="1013"/>
      <c r="DD27" s="1014"/>
      <c r="DE27" s="1015"/>
      <c r="DF27" s="1016"/>
      <c r="DG27" s="1017"/>
      <c r="DH27" s="1018"/>
      <c r="DI27" s="281"/>
      <c r="DJ27" s="1009"/>
      <c r="DK27" s="1010"/>
      <c r="DL27" s="1011"/>
      <c r="DM27" s="1012"/>
      <c r="DN27" s="1013"/>
      <c r="DO27" s="1014"/>
      <c r="DP27" s="1015"/>
      <c r="DQ27" s="1016"/>
      <c r="DR27" s="1017"/>
      <c r="DS27" s="1018"/>
      <c r="DT27" s="281"/>
      <c r="DU27" s="1009"/>
      <c r="DV27" s="1010"/>
      <c r="DW27" s="1011"/>
      <c r="DX27" s="1012"/>
      <c r="DY27" s="1013"/>
      <c r="DZ27" s="1014"/>
      <c r="EA27" s="1015"/>
      <c r="EB27" s="1016"/>
      <c r="EC27" s="1017"/>
      <c r="ED27" s="1018"/>
      <c r="EE27" s="281"/>
      <c r="EF27" s="1009"/>
      <c r="EG27" s="1010"/>
      <c r="EH27" s="1011"/>
      <c r="EI27" s="1012"/>
      <c r="EJ27" s="1013"/>
      <c r="EK27" s="1014"/>
      <c r="EL27" s="1015"/>
      <c r="EM27" s="1016"/>
      <c r="EN27" s="1017"/>
      <c r="EO27" s="1018"/>
      <c r="EP27" s="281"/>
      <c r="EQ27" s="1009"/>
      <c r="ER27" s="1010"/>
      <c r="ES27" s="1011"/>
      <c r="ET27" s="1012"/>
      <c r="EU27" s="1013"/>
      <c r="EV27" s="1014"/>
      <c r="EW27" s="1015"/>
      <c r="EX27" s="1016"/>
      <c r="EY27" s="1017"/>
      <c r="EZ27" s="1018"/>
      <c r="FA27" s="281"/>
      <c r="FB27" s="1009"/>
      <c r="FC27" s="1010"/>
      <c r="FD27" s="1011"/>
      <c r="FE27" s="1012"/>
      <c r="FF27" s="1013"/>
      <c r="FG27" s="1014"/>
      <c r="FH27" s="1015"/>
      <c r="FI27" s="1016"/>
      <c r="FJ27" s="1017"/>
      <c r="FK27" s="1018"/>
      <c r="FL27" s="281"/>
      <c r="FM27" s="1009"/>
      <c r="FN27" s="1010"/>
      <c r="FO27" s="1011"/>
      <c r="FP27" s="1012"/>
      <c r="FQ27" s="1013"/>
      <c r="FR27" s="1014"/>
      <c r="FS27" s="1015"/>
      <c r="FT27" s="1016"/>
      <c r="FU27" s="1017"/>
      <c r="FV27" s="1018"/>
      <c r="FW27" s="281"/>
      <c r="FX27" s="1009"/>
      <c r="FY27" s="1010"/>
      <c r="FZ27" s="1011"/>
      <c r="GA27" s="1012"/>
      <c r="GB27" s="1013"/>
      <c r="GC27" s="1014"/>
      <c r="GD27" s="1015"/>
      <c r="GE27" s="1016"/>
      <c r="GF27" s="1017"/>
      <c r="GG27" s="1018"/>
      <c r="GH27" s="281"/>
      <c r="GI27" s="1009"/>
      <c r="GJ27" s="1010"/>
      <c r="GK27" s="1011"/>
      <c r="GL27" s="1012"/>
      <c r="GM27" s="1013"/>
      <c r="GN27" s="1014"/>
      <c r="GO27" s="1015"/>
      <c r="GP27" s="1016"/>
      <c r="GQ27" s="1017"/>
      <c r="GR27" s="1018"/>
      <c r="GS27" s="281"/>
      <c r="GT27" s="1009"/>
      <c r="GU27" s="1010"/>
      <c r="GV27" s="1011"/>
      <c r="GW27" s="1012"/>
      <c r="GX27" s="1013"/>
      <c r="GY27" s="1014"/>
      <c r="GZ27" s="1015"/>
      <c r="HA27" s="1016"/>
      <c r="HB27" s="1017"/>
      <c r="HC27" s="1018"/>
      <c r="HD27" s="281"/>
      <c r="HE27" s="1009"/>
      <c r="HF27" s="1010"/>
      <c r="HG27" s="1011"/>
      <c r="HH27" s="1012"/>
      <c r="HI27" s="1013"/>
      <c r="HJ27" s="1014"/>
      <c r="HK27" s="1015"/>
      <c r="HL27" s="1016"/>
      <c r="HM27" s="1017"/>
      <c r="HN27" s="1018"/>
      <c r="HO27" s="281"/>
      <c r="HP27" s="1009"/>
      <c r="HQ27" s="1010"/>
      <c r="HR27" s="1011"/>
      <c r="HS27" s="1012"/>
      <c r="HT27" s="1013"/>
      <c r="HU27" s="1014"/>
      <c r="HV27" s="1015"/>
      <c r="HW27" s="1016"/>
      <c r="HX27" s="1017"/>
      <c r="HY27" s="1018"/>
      <c r="HZ27" s="281"/>
      <c r="IA27" s="1009"/>
      <c r="IB27" s="1010"/>
      <c r="IC27" s="1011"/>
      <c r="ID27" s="1012"/>
      <c r="IE27" s="1013"/>
      <c r="IF27" s="1014"/>
      <c r="IG27" s="1015"/>
      <c r="IH27" s="1016"/>
      <c r="II27" s="1017"/>
      <c r="IJ27" s="1018"/>
      <c r="IK27" s="281"/>
      <c r="IL27" s="1009"/>
      <c r="IM27" s="1010"/>
      <c r="IN27" s="1011"/>
      <c r="IO27" s="1012"/>
      <c r="IP27" s="1013"/>
      <c r="IQ27" s="1014"/>
      <c r="IR27" s="1015"/>
      <c r="IS27" s="1016"/>
      <c r="IT27" s="1017"/>
      <c r="IU27" s="1019"/>
    </row>
    <row r="28" spans="1:255" ht="18" customHeight="1" x14ac:dyDescent="0.15">
      <c r="A28" s="6"/>
      <c r="B28" s="894" t="s">
        <v>106</v>
      </c>
      <c r="C28" s="1513">
        <v>4</v>
      </c>
      <c r="D28" s="887">
        <v>1</v>
      </c>
      <c r="E28" s="1515">
        <v>1</v>
      </c>
      <c r="F28" s="889">
        <v>1</v>
      </c>
      <c r="G28" s="890">
        <v>1</v>
      </c>
      <c r="H28" s="1006">
        <v>1</v>
      </c>
      <c r="I28" s="891">
        <v>2</v>
      </c>
      <c r="J28" s="1007">
        <v>2</v>
      </c>
      <c r="K28" s="892">
        <v>2</v>
      </c>
      <c r="L28" s="1008">
        <v>1</v>
      </c>
      <c r="M28" s="895" t="s">
        <v>106</v>
      </c>
      <c r="N28" s="301"/>
      <c r="O28" s="1009"/>
      <c r="P28" s="1010"/>
      <c r="Q28" s="1011"/>
      <c r="R28" s="1012"/>
      <c r="S28" s="1013"/>
      <c r="T28" s="1014"/>
      <c r="U28" s="1015"/>
      <c r="V28" s="1016"/>
      <c r="W28" s="1017"/>
      <c r="X28" s="1018"/>
      <c r="Y28" s="281"/>
      <c r="Z28" s="1009"/>
      <c r="AA28" s="1010"/>
      <c r="AB28" s="1011"/>
      <c r="AC28" s="1012"/>
      <c r="AD28" s="1013"/>
      <c r="AE28" s="1014"/>
      <c r="AF28" s="1015"/>
      <c r="AG28" s="1016"/>
      <c r="AH28" s="1017"/>
      <c r="AI28" s="1018"/>
      <c r="AJ28" s="281"/>
      <c r="AK28" s="1009"/>
      <c r="AL28" s="1010"/>
      <c r="AM28" s="1011"/>
      <c r="AN28" s="1012"/>
      <c r="AO28" s="1013"/>
      <c r="AP28" s="1014"/>
      <c r="AQ28" s="1015"/>
      <c r="AR28" s="1016"/>
      <c r="AS28" s="1017"/>
      <c r="AT28" s="1018"/>
      <c r="AU28" s="281"/>
      <c r="AV28" s="1009"/>
      <c r="AW28" s="1010"/>
      <c r="AX28" s="1011"/>
      <c r="AY28" s="1012"/>
      <c r="AZ28" s="1013"/>
      <c r="BA28" s="1014"/>
      <c r="BB28" s="1015"/>
      <c r="BC28" s="1016"/>
      <c r="BD28" s="1017"/>
      <c r="BE28" s="1018"/>
      <c r="BF28" s="281"/>
      <c r="BG28" s="1009"/>
      <c r="BH28" s="1010"/>
      <c r="BI28" s="1011"/>
      <c r="BJ28" s="1012"/>
      <c r="BK28" s="1013"/>
      <c r="BL28" s="1014"/>
      <c r="BM28" s="1015"/>
      <c r="BN28" s="1016"/>
      <c r="BO28" s="1017"/>
      <c r="BP28" s="1018"/>
      <c r="BQ28" s="281"/>
      <c r="BR28" s="1009"/>
      <c r="BS28" s="1010"/>
      <c r="BT28" s="1011"/>
      <c r="BU28" s="1012"/>
      <c r="BV28" s="1013"/>
      <c r="BW28" s="1014"/>
      <c r="BX28" s="1015"/>
      <c r="BY28" s="1016"/>
      <c r="BZ28" s="1017"/>
      <c r="CA28" s="1018"/>
      <c r="CB28" s="281"/>
      <c r="CC28" s="1009"/>
      <c r="CD28" s="1010"/>
      <c r="CE28" s="1011"/>
      <c r="CF28" s="1012"/>
      <c r="CG28" s="1013"/>
      <c r="CH28" s="1014"/>
      <c r="CI28" s="1015"/>
      <c r="CJ28" s="1016"/>
      <c r="CK28" s="1017"/>
      <c r="CL28" s="1018"/>
      <c r="CM28" s="281"/>
      <c r="CN28" s="1009"/>
      <c r="CO28" s="1010"/>
      <c r="CP28" s="1011"/>
      <c r="CQ28" s="1012"/>
      <c r="CR28" s="1013"/>
      <c r="CS28" s="1014"/>
      <c r="CT28" s="1015"/>
      <c r="CU28" s="1016"/>
      <c r="CV28" s="1017"/>
      <c r="CW28" s="1018"/>
      <c r="CX28" s="281"/>
      <c r="CY28" s="1009"/>
      <c r="CZ28" s="1010"/>
      <c r="DA28" s="1011"/>
      <c r="DB28" s="1012"/>
      <c r="DC28" s="1013"/>
      <c r="DD28" s="1014"/>
      <c r="DE28" s="1015"/>
      <c r="DF28" s="1016"/>
      <c r="DG28" s="1017"/>
      <c r="DH28" s="1018"/>
      <c r="DI28" s="281"/>
      <c r="DJ28" s="1009"/>
      <c r="DK28" s="1010"/>
      <c r="DL28" s="1011"/>
      <c r="DM28" s="1012"/>
      <c r="DN28" s="1013"/>
      <c r="DO28" s="1014"/>
      <c r="DP28" s="1015"/>
      <c r="DQ28" s="1016"/>
      <c r="DR28" s="1017"/>
      <c r="DS28" s="1018"/>
      <c r="DT28" s="281"/>
      <c r="DU28" s="1009"/>
      <c r="DV28" s="1010"/>
      <c r="DW28" s="1011"/>
      <c r="DX28" s="1012"/>
      <c r="DY28" s="1013"/>
      <c r="DZ28" s="1014"/>
      <c r="EA28" s="1015"/>
      <c r="EB28" s="1016"/>
      <c r="EC28" s="1017"/>
      <c r="ED28" s="1018"/>
      <c r="EE28" s="281"/>
      <c r="EF28" s="1009"/>
      <c r="EG28" s="1010"/>
      <c r="EH28" s="1011"/>
      <c r="EI28" s="1012"/>
      <c r="EJ28" s="1013"/>
      <c r="EK28" s="1014"/>
      <c r="EL28" s="1015"/>
      <c r="EM28" s="1016"/>
      <c r="EN28" s="1017"/>
      <c r="EO28" s="1018"/>
      <c r="EP28" s="281"/>
      <c r="EQ28" s="1009"/>
      <c r="ER28" s="1010"/>
      <c r="ES28" s="1011"/>
      <c r="ET28" s="1012"/>
      <c r="EU28" s="1013"/>
      <c r="EV28" s="1014"/>
      <c r="EW28" s="1015"/>
      <c r="EX28" s="1016"/>
      <c r="EY28" s="1017"/>
      <c r="EZ28" s="1018"/>
      <c r="FA28" s="281"/>
      <c r="FB28" s="1009"/>
      <c r="FC28" s="1010"/>
      <c r="FD28" s="1011"/>
      <c r="FE28" s="1012"/>
      <c r="FF28" s="1013"/>
      <c r="FG28" s="1014"/>
      <c r="FH28" s="1015"/>
      <c r="FI28" s="1016"/>
      <c r="FJ28" s="1017"/>
      <c r="FK28" s="1018"/>
      <c r="FL28" s="281"/>
      <c r="FM28" s="1009"/>
      <c r="FN28" s="1010"/>
      <c r="FO28" s="1011"/>
      <c r="FP28" s="1012"/>
      <c r="FQ28" s="1013"/>
      <c r="FR28" s="1014"/>
      <c r="FS28" s="1015"/>
      <c r="FT28" s="1016"/>
      <c r="FU28" s="1017"/>
      <c r="FV28" s="1018"/>
      <c r="FW28" s="281"/>
      <c r="FX28" s="1009"/>
      <c r="FY28" s="1010"/>
      <c r="FZ28" s="1011"/>
      <c r="GA28" s="1012"/>
      <c r="GB28" s="1013"/>
      <c r="GC28" s="1014"/>
      <c r="GD28" s="1015"/>
      <c r="GE28" s="1016"/>
      <c r="GF28" s="1017"/>
      <c r="GG28" s="1018"/>
      <c r="GH28" s="281"/>
      <c r="GI28" s="1009"/>
      <c r="GJ28" s="1010"/>
      <c r="GK28" s="1011"/>
      <c r="GL28" s="1012"/>
      <c r="GM28" s="1013"/>
      <c r="GN28" s="1014"/>
      <c r="GO28" s="1015"/>
      <c r="GP28" s="1016"/>
      <c r="GQ28" s="1017"/>
      <c r="GR28" s="1018"/>
      <c r="GS28" s="281"/>
      <c r="GT28" s="1009"/>
      <c r="GU28" s="1010"/>
      <c r="GV28" s="1011"/>
      <c r="GW28" s="1012"/>
      <c r="GX28" s="1013"/>
      <c r="GY28" s="1014"/>
      <c r="GZ28" s="1015"/>
      <c r="HA28" s="1016"/>
      <c r="HB28" s="1017"/>
      <c r="HC28" s="1018"/>
      <c r="HD28" s="281"/>
      <c r="HE28" s="1009"/>
      <c r="HF28" s="1010"/>
      <c r="HG28" s="1011"/>
      <c r="HH28" s="1012"/>
      <c r="HI28" s="1013"/>
      <c r="HJ28" s="1014"/>
      <c r="HK28" s="1015"/>
      <c r="HL28" s="1016"/>
      <c r="HM28" s="1017"/>
      <c r="HN28" s="1018"/>
      <c r="HO28" s="281"/>
      <c r="HP28" s="1009"/>
      <c r="HQ28" s="1010"/>
      <c r="HR28" s="1011"/>
      <c r="HS28" s="1012"/>
      <c r="HT28" s="1013"/>
      <c r="HU28" s="1014"/>
      <c r="HV28" s="1015"/>
      <c r="HW28" s="1016"/>
      <c r="HX28" s="1017"/>
      <c r="HY28" s="1018"/>
      <c r="HZ28" s="281"/>
      <c r="IA28" s="1009"/>
      <c r="IB28" s="1010"/>
      <c r="IC28" s="1011"/>
      <c r="ID28" s="1012"/>
      <c r="IE28" s="1013"/>
      <c r="IF28" s="1014"/>
      <c r="IG28" s="1015"/>
      <c r="IH28" s="1016"/>
      <c r="II28" s="1017"/>
      <c r="IJ28" s="1018"/>
      <c r="IK28" s="281"/>
      <c r="IL28" s="1009"/>
      <c r="IM28" s="1010"/>
      <c r="IN28" s="1011"/>
      <c r="IO28" s="1012"/>
      <c r="IP28" s="1013"/>
      <c r="IQ28" s="1014"/>
      <c r="IR28" s="1015"/>
      <c r="IS28" s="1016"/>
      <c r="IT28" s="1017"/>
      <c r="IU28" s="1019"/>
    </row>
    <row r="29" spans="1:255" ht="18" customHeight="1" x14ac:dyDescent="0.15">
      <c r="A29" s="6"/>
      <c r="B29" s="896" t="s">
        <v>107</v>
      </c>
      <c r="C29" s="1513"/>
      <c r="D29" s="887"/>
      <c r="E29" s="1515"/>
      <c r="F29" s="889"/>
      <c r="G29" s="890"/>
      <c r="H29" s="1006"/>
      <c r="I29" s="891"/>
      <c r="J29" s="1007"/>
      <c r="K29" s="892"/>
      <c r="L29" s="1008"/>
      <c r="M29" s="897" t="s">
        <v>107</v>
      </c>
      <c r="N29" s="301"/>
      <c r="O29" s="1009"/>
      <c r="P29" s="1010"/>
      <c r="Q29" s="1011"/>
      <c r="R29" s="1012"/>
      <c r="S29" s="1013"/>
      <c r="T29" s="1014"/>
      <c r="U29" s="1015"/>
      <c r="V29" s="1016"/>
      <c r="W29" s="1017"/>
      <c r="X29" s="1018"/>
      <c r="Y29" s="281"/>
      <c r="Z29" s="1009"/>
      <c r="AA29" s="1010"/>
      <c r="AB29" s="1011"/>
      <c r="AC29" s="1012"/>
      <c r="AD29" s="1013"/>
      <c r="AE29" s="1014"/>
      <c r="AF29" s="1015"/>
      <c r="AG29" s="1016"/>
      <c r="AH29" s="1017"/>
      <c r="AI29" s="1018"/>
      <c r="AJ29" s="281"/>
      <c r="AK29" s="1009"/>
      <c r="AL29" s="1010"/>
      <c r="AM29" s="1011"/>
      <c r="AN29" s="1012"/>
      <c r="AO29" s="1013"/>
      <c r="AP29" s="1014"/>
      <c r="AQ29" s="1015"/>
      <c r="AR29" s="1016"/>
      <c r="AS29" s="1017"/>
      <c r="AT29" s="1018"/>
      <c r="AU29" s="281"/>
      <c r="AV29" s="1009"/>
      <c r="AW29" s="1010"/>
      <c r="AX29" s="1011"/>
      <c r="AY29" s="1012"/>
      <c r="AZ29" s="1013"/>
      <c r="BA29" s="1014"/>
      <c r="BB29" s="1015"/>
      <c r="BC29" s="1016"/>
      <c r="BD29" s="1017"/>
      <c r="BE29" s="1018"/>
      <c r="BF29" s="281"/>
      <c r="BG29" s="1009"/>
      <c r="BH29" s="1010"/>
      <c r="BI29" s="1011"/>
      <c r="BJ29" s="1012"/>
      <c r="BK29" s="1013"/>
      <c r="BL29" s="1014"/>
      <c r="BM29" s="1015"/>
      <c r="BN29" s="1016"/>
      <c r="BO29" s="1017"/>
      <c r="BP29" s="1018"/>
      <c r="BQ29" s="281"/>
      <c r="BR29" s="1009"/>
      <c r="BS29" s="1010"/>
      <c r="BT29" s="1011"/>
      <c r="BU29" s="1012"/>
      <c r="BV29" s="1013"/>
      <c r="BW29" s="1014"/>
      <c r="BX29" s="1015"/>
      <c r="BY29" s="1016"/>
      <c r="BZ29" s="1017"/>
      <c r="CA29" s="1018"/>
      <c r="CB29" s="281"/>
      <c r="CC29" s="1009"/>
      <c r="CD29" s="1010"/>
      <c r="CE29" s="1011"/>
      <c r="CF29" s="1012"/>
      <c r="CG29" s="1013"/>
      <c r="CH29" s="1014"/>
      <c r="CI29" s="1015"/>
      <c r="CJ29" s="1016"/>
      <c r="CK29" s="1017"/>
      <c r="CL29" s="1018"/>
      <c r="CM29" s="281"/>
      <c r="CN29" s="1009"/>
      <c r="CO29" s="1010"/>
      <c r="CP29" s="1011"/>
      <c r="CQ29" s="1012"/>
      <c r="CR29" s="1013"/>
      <c r="CS29" s="1014"/>
      <c r="CT29" s="1015"/>
      <c r="CU29" s="1016"/>
      <c r="CV29" s="1017"/>
      <c r="CW29" s="1018"/>
      <c r="CX29" s="281"/>
      <c r="CY29" s="1009"/>
      <c r="CZ29" s="1010"/>
      <c r="DA29" s="1011"/>
      <c r="DB29" s="1012"/>
      <c r="DC29" s="1013"/>
      <c r="DD29" s="1014"/>
      <c r="DE29" s="1015"/>
      <c r="DF29" s="1016"/>
      <c r="DG29" s="1017"/>
      <c r="DH29" s="1018"/>
      <c r="DI29" s="281"/>
      <c r="DJ29" s="1009"/>
      <c r="DK29" s="1010"/>
      <c r="DL29" s="1011"/>
      <c r="DM29" s="1012"/>
      <c r="DN29" s="1013"/>
      <c r="DO29" s="1014"/>
      <c r="DP29" s="1015"/>
      <c r="DQ29" s="1016"/>
      <c r="DR29" s="1017"/>
      <c r="DS29" s="1018"/>
      <c r="DT29" s="281"/>
      <c r="DU29" s="1009"/>
      <c r="DV29" s="1010"/>
      <c r="DW29" s="1011"/>
      <c r="DX29" s="1012"/>
      <c r="DY29" s="1013"/>
      <c r="DZ29" s="1014"/>
      <c r="EA29" s="1015"/>
      <c r="EB29" s="1016"/>
      <c r="EC29" s="1017"/>
      <c r="ED29" s="1018"/>
      <c r="EE29" s="281"/>
      <c r="EF29" s="1009"/>
      <c r="EG29" s="1010"/>
      <c r="EH29" s="1011"/>
      <c r="EI29" s="1012"/>
      <c r="EJ29" s="1013"/>
      <c r="EK29" s="1014"/>
      <c r="EL29" s="1015"/>
      <c r="EM29" s="1016"/>
      <c r="EN29" s="1017"/>
      <c r="EO29" s="1018"/>
      <c r="EP29" s="281"/>
      <c r="EQ29" s="1009"/>
      <c r="ER29" s="1010"/>
      <c r="ES29" s="1011"/>
      <c r="ET29" s="1012"/>
      <c r="EU29" s="1013"/>
      <c r="EV29" s="1014"/>
      <c r="EW29" s="1015"/>
      <c r="EX29" s="1016"/>
      <c r="EY29" s="1017"/>
      <c r="EZ29" s="1018"/>
      <c r="FA29" s="281"/>
      <c r="FB29" s="1009"/>
      <c r="FC29" s="1010"/>
      <c r="FD29" s="1011"/>
      <c r="FE29" s="1012"/>
      <c r="FF29" s="1013"/>
      <c r="FG29" s="1014"/>
      <c r="FH29" s="1015"/>
      <c r="FI29" s="1016"/>
      <c r="FJ29" s="1017"/>
      <c r="FK29" s="1018"/>
      <c r="FL29" s="281"/>
      <c r="FM29" s="1009"/>
      <c r="FN29" s="1010"/>
      <c r="FO29" s="1011"/>
      <c r="FP29" s="1012"/>
      <c r="FQ29" s="1013"/>
      <c r="FR29" s="1014"/>
      <c r="FS29" s="1015"/>
      <c r="FT29" s="1016"/>
      <c r="FU29" s="1017"/>
      <c r="FV29" s="1018"/>
      <c r="FW29" s="281"/>
      <c r="FX29" s="1009"/>
      <c r="FY29" s="1010"/>
      <c r="FZ29" s="1011"/>
      <c r="GA29" s="1012"/>
      <c r="GB29" s="1013"/>
      <c r="GC29" s="1014"/>
      <c r="GD29" s="1015"/>
      <c r="GE29" s="1016"/>
      <c r="GF29" s="1017"/>
      <c r="GG29" s="1018"/>
      <c r="GH29" s="281"/>
      <c r="GI29" s="1009"/>
      <c r="GJ29" s="1010"/>
      <c r="GK29" s="1011"/>
      <c r="GL29" s="1012"/>
      <c r="GM29" s="1013"/>
      <c r="GN29" s="1014"/>
      <c r="GO29" s="1015"/>
      <c r="GP29" s="1016"/>
      <c r="GQ29" s="1017"/>
      <c r="GR29" s="1018"/>
      <c r="GS29" s="281"/>
      <c r="GT29" s="1009"/>
      <c r="GU29" s="1010"/>
      <c r="GV29" s="1011"/>
      <c r="GW29" s="1012"/>
      <c r="GX29" s="1013"/>
      <c r="GY29" s="1014"/>
      <c r="GZ29" s="1015"/>
      <c r="HA29" s="1016"/>
      <c r="HB29" s="1017"/>
      <c r="HC29" s="1018"/>
      <c r="HD29" s="281"/>
      <c r="HE29" s="1009"/>
      <c r="HF29" s="1010"/>
      <c r="HG29" s="1011"/>
      <c r="HH29" s="1012"/>
      <c r="HI29" s="1013"/>
      <c r="HJ29" s="1014"/>
      <c r="HK29" s="1015"/>
      <c r="HL29" s="1016"/>
      <c r="HM29" s="1017"/>
      <c r="HN29" s="1018"/>
      <c r="HO29" s="281"/>
      <c r="HP29" s="1009"/>
      <c r="HQ29" s="1010"/>
      <c r="HR29" s="1011"/>
      <c r="HS29" s="1012"/>
      <c r="HT29" s="1013"/>
      <c r="HU29" s="1014"/>
      <c r="HV29" s="1015"/>
      <c r="HW29" s="1016"/>
      <c r="HX29" s="1017"/>
      <c r="HY29" s="1018"/>
      <c r="HZ29" s="281"/>
      <c r="IA29" s="1009"/>
      <c r="IB29" s="1010"/>
      <c r="IC29" s="1011"/>
      <c r="ID29" s="1012"/>
      <c r="IE29" s="1013"/>
      <c r="IF29" s="1014"/>
      <c r="IG29" s="1015"/>
      <c r="IH29" s="1016"/>
      <c r="II29" s="1017"/>
      <c r="IJ29" s="1018"/>
      <c r="IK29" s="281"/>
      <c r="IL29" s="1009"/>
      <c r="IM29" s="1010"/>
      <c r="IN29" s="1011"/>
      <c r="IO29" s="1012"/>
      <c r="IP29" s="1013"/>
      <c r="IQ29" s="1014"/>
      <c r="IR29" s="1015"/>
      <c r="IS29" s="1016"/>
      <c r="IT29" s="1017"/>
      <c r="IU29" s="1019"/>
    </row>
    <row r="30" spans="1:255" ht="18" customHeight="1" x14ac:dyDescent="0.15">
      <c r="A30" s="6"/>
      <c r="B30" s="894" t="s">
        <v>113</v>
      </c>
      <c r="C30" s="1513"/>
      <c r="D30" s="887"/>
      <c r="E30" s="1515"/>
      <c r="F30" s="889"/>
      <c r="G30" s="890"/>
      <c r="H30" s="1006"/>
      <c r="I30" s="891"/>
      <c r="J30" s="1007"/>
      <c r="K30" s="892"/>
      <c r="L30" s="1008"/>
      <c r="M30" s="895" t="s">
        <v>113</v>
      </c>
      <c r="N30" s="30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  <c r="BJ30" s="281"/>
      <c r="BK30" s="281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/>
      <c r="BZ30" s="281"/>
      <c r="CA30" s="281"/>
      <c r="CB30" s="281"/>
      <c r="CC30" s="281"/>
      <c r="CD30" s="281"/>
      <c r="CE30" s="281"/>
      <c r="CF30" s="281"/>
      <c r="CG30" s="281"/>
      <c r="CH30" s="281"/>
      <c r="CI30" s="281"/>
      <c r="CJ30" s="281"/>
      <c r="CK30" s="281"/>
      <c r="CL30" s="281"/>
      <c r="CM30" s="281"/>
      <c r="CN30" s="281"/>
      <c r="CO30" s="281"/>
      <c r="CP30" s="281"/>
      <c r="CQ30" s="281"/>
      <c r="CR30" s="281"/>
      <c r="CS30" s="281"/>
      <c r="CT30" s="281"/>
      <c r="CU30" s="281"/>
      <c r="CV30" s="281"/>
      <c r="CW30" s="281"/>
      <c r="CX30" s="281"/>
      <c r="CY30" s="281"/>
      <c r="CZ30" s="281"/>
      <c r="DA30" s="281"/>
      <c r="DB30" s="281"/>
      <c r="DC30" s="281"/>
      <c r="DD30" s="281"/>
      <c r="DE30" s="281"/>
      <c r="DF30" s="281"/>
      <c r="DG30" s="281"/>
      <c r="DH30" s="281"/>
      <c r="DI30" s="281"/>
      <c r="DJ30" s="281"/>
      <c r="DK30" s="281"/>
      <c r="DL30" s="281"/>
      <c r="DM30" s="281"/>
      <c r="DN30" s="281"/>
      <c r="DO30" s="281"/>
      <c r="DP30" s="281"/>
      <c r="DQ30" s="281"/>
      <c r="DR30" s="281"/>
      <c r="DS30" s="281"/>
      <c r="DT30" s="281"/>
      <c r="DU30" s="281"/>
      <c r="DV30" s="281"/>
      <c r="DW30" s="281"/>
      <c r="DX30" s="281"/>
      <c r="DY30" s="281"/>
      <c r="DZ30" s="281"/>
      <c r="EA30" s="281"/>
      <c r="EB30" s="281"/>
      <c r="EC30" s="281"/>
      <c r="ED30" s="281"/>
      <c r="EE30" s="281"/>
      <c r="EF30" s="281"/>
      <c r="EG30" s="281"/>
      <c r="EH30" s="281"/>
      <c r="EI30" s="281"/>
      <c r="EJ30" s="281"/>
      <c r="EK30" s="281"/>
      <c r="EL30" s="281"/>
      <c r="EM30" s="281"/>
      <c r="EN30" s="281"/>
      <c r="EO30" s="281"/>
      <c r="EP30" s="281"/>
      <c r="EQ30" s="281"/>
      <c r="ER30" s="281"/>
      <c r="ES30" s="281"/>
      <c r="ET30" s="281"/>
      <c r="EU30" s="281"/>
      <c r="EV30" s="281"/>
      <c r="EW30" s="281"/>
      <c r="EX30" s="281"/>
      <c r="EY30" s="281"/>
      <c r="EZ30" s="281"/>
      <c r="FA30" s="281"/>
      <c r="FB30" s="281"/>
      <c r="FC30" s="281"/>
      <c r="FD30" s="281"/>
      <c r="FE30" s="281"/>
      <c r="FF30" s="281"/>
      <c r="FG30" s="281"/>
      <c r="FH30" s="281"/>
      <c r="FI30" s="281"/>
      <c r="FJ30" s="281"/>
      <c r="FK30" s="281"/>
      <c r="FL30" s="281"/>
      <c r="FM30" s="281"/>
      <c r="FN30" s="281"/>
      <c r="FO30" s="281"/>
      <c r="FP30" s="281"/>
      <c r="FQ30" s="281"/>
      <c r="FR30" s="281"/>
      <c r="FS30" s="281"/>
      <c r="FT30" s="281"/>
      <c r="FU30" s="281"/>
      <c r="FV30" s="281"/>
      <c r="FW30" s="281"/>
      <c r="FX30" s="281"/>
      <c r="FY30" s="281"/>
      <c r="FZ30" s="281"/>
      <c r="GA30" s="281"/>
      <c r="GB30" s="281"/>
      <c r="GC30" s="281"/>
      <c r="GD30" s="281"/>
      <c r="GE30" s="281"/>
      <c r="GF30" s="281"/>
      <c r="GG30" s="281"/>
      <c r="GH30" s="281"/>
      <c r="GI30" s="281"/>
      <c r="GJ30" s="281"/>
      <c r="GK30" s="281"/>
      <c r="GL30" s="281"/>
      <c r="GM30" s="281"/>
      <c r="GN30" s="281"/>
      <c r="GO30" s="281"/>
      <c r="GP30" s="281"/>
      <c r="GQ30" s="281"/>
      <c r="GR30" s="281"/>
      <c r="GS30" s="281"/>
      <c r="GT30" s="281"/>
      <c r="GU30" s="281"/>
      <c r="GV30" s="281"/>
      <c r="GW30" s="281"/>
      <c r="GX30" s="281"/>
      <c r="GY30" s="281"/>
      <c r="GZ30" s="281"/>
      <c r="HA30" s="281"/>
      <c r="HB30" s="281"/>
      <c r="HC30" s="281"/>
      <c r="HD30" s="281"/>
      <c r="HE30" s="281"/>
      <c r="HF30" s="281"/>
      <c r="HG30" s="281"/>
      <c r="HH30" s="281"/>
      <c r="HI30" s="281"/>
      <c r="HJ30" s="281"/>
      <c r="HK30" s="281"/>
      <c r="HL30" s="281"/>
      <c r="HM30" s="281"/>
      <c r="HN30" s="281"/>
      <c r="HO30" s="281"/>
      <c r="HP30" s="281"/>
      <c r="HQ30" s="281"/>
      <c r="HR30" s="281"/>
      <c r="HS30" s="281"/>
      <c r="HT30" s="281"/>
      <c r="HU30" s="281"/>
      <c r="HV30" s="281"/>
      <c r="HW30" s="281"/>
      <c r="HX30" s="281"/>
      <c r="HY30" s="281"/>
      <c r="HZ30" s="281"/>
      <c r="IA30" s="281"/>
      <c r="IB30" s="281"/>
      <c r="IC30" s="281"/>
      <c r="ID30" s="281"/>
      <c r="IE30" s="281"/>
      <c r="IF30" s="281"/>
      <c r="IG30" s="281"/>
      <c r="IH30" s="281"/>
      <c r="II30" s="281"/>
      <c r="IJ30" s="281"/>
      <c r="IK30" s="281"/>
      <c r="IL30" s="281"/>
      <c r="IM30" s="281"/>
      <c r="IN30" s="281"/>
      <c r="IO30" s="281"/>
      <c r="IP30" s="281"/>
      <c r="IQ30" s="281"/>
      <c r="IR30" s="281"/>
      <c r="IS30" s="281"/>
      <c r="IT30" s="281"/>
      <c r="IU30" s="282"/>
    </row>
    <row r="31" spans="1:255" ht="18" customHeight="1" x14ac:dyDescent="0.15">
      <c r="A31" s="6"/>
      <c r="B31" s="898" t="s">
        <v>72</v>
      </c>
      <c r="C31" s="1513"/>
      <c r="D31" s="887"/>
      <c r="E31" s="1515">
        <v>2</v>
      </c>
      <c r="F31" s="889"/>
      <c r="G31" s="890">
        <v>2</v>
      </c>
      <c r="H31" s="1006">
        <v>2</v>
      </c>
      <c r="I31" s="891"/>
      <c r="J31" s="1007"/>
      <c r="K31" s="892"/>
      <c r="L31" s="1008">
        <v>2</v>
      </c>
      <c r="M31" s="899" t="s">
        <v>72</v>
      </c>
      <c r="N31" s="301"/>
      <c r="O31" s="281"/>
      <c r="P31" s="281"/>
      <c r="Q31" s="281"/>
      <c r="R31" s="281"/>
      <c r="S31" s="281"/>
      <c r="T31" s="281"/>
      <c r="U31" s="281"/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81"/>
      <c r="AL31" s="281"/>
      <c r="AM31" s="281"/>
      <c r="AN31" s="281"/>
      <c r="AO31" s="281"/>
      <c r="AP31" s="281"/>
      <c r="AQ31" s="281"/>
      <c r="AR31" s="281"/>
      <c r="AS31" s="281"/>
      <c r="AT31" s="281"/>
      <c r="AU31" s="281"/>
      <c r="AV31" s="281"/>
      <c r="AW31" s="281"/>
      <c r="AX31" s="281"/>
      <c r="AY31" s="281"/>
      <c r="AZ31" s="281"/>
      <c r="BA31" s="281"/>
      <c r="BB31" s="281"/>
      <c r="BC31" s="281"/>
      <c r="BD31" s="281"/>
      <c r="BE31" s="281"/>
      <c r="BF31" s="281"/>
      <c r="BG31" s="281"/>
      <c r="BH31" s="281"/>
      <c r="BI31" s="281"/>
      <c r="BJ31" s="281"/>
      <c r="BK31" s="281"/>
      <c r="BL31" s="281"/>
      <c r="BM31" s="281"/>
      <c r="BN31" s="281"/>
      <c r="BO31" s="281"/>
      <c r="BP31" s="281"/>
      <c r="BQ31" s="281"/>
      <c r="BR31" s="281"/>
      <c r="BS31" s="281"/>
      <c r="BT31" s="281"/>
      <c r="BU31" s="281"/>
      <c r="BV31" s="281"/>
      <c r="BW31" s="281"/>
      <c r="BX31" s="281"/>
      <c r="BY31" s="281"/>
      <c r="BZ31" s="281"/>
      <c r="CA31" s="281"/>
      <c r="CB31" s="281"/>
      <c r="CC31" s="281"/>
      <c r="CD31" s="281"/>
      <c r="CE31" s="281"/>
      <c r="CF31" s="281"/>
      <c r="CG31" s="281"/>
      <c r="CH31" s="281"/>
      <c r="CI31" s="281"/>
      <c r="CJ31" s="281"/>
      <c r="CK31" s="281"/>
      <c r="CL31" s="281"/>
      <c r="CM31" s="281"/>
      <c r="CN31" s="281"/>
      <c r="CO31" s="281"/>
      <c r="CP31" s="281"/>
      <c r="CQ31" s="281"/>
      <c r="CR31" s="281"/>
      <c r="CS31" s="281"/>
      <c r="CT31" s="281"/>
      <c r="CU31" s="281"/>
      <c r="CV31" s="281"/>
      <c r="CW31" s="281"/>
      <c r="CX31" s="281"/>
      <c r="CY31" s="281"/>
      <c r="CZ31" s="281"/>
      <c r="DA31" s="281"/>
      <c r="DB31" s="281"/>
      <c r="DC31" s="281"/>
      <c r="DD31" s="281"/>
      <c r="DE31" s="281"/>
      <c r="DF31" s="281"/>
      <c r="DG31" s="281"/>
      <c r="DH31" s="281"/>
      <c r="DI31" s="281"/>
      <c r="DJ31" s="281"/>
      <c r="DK31" s="281"/>
      <c r="DL31" s="281"/>
      <c r="DM31" s="281"/>
      <c r="DN31" s="281"/>
      <c r="DO31" s="281"/>
      <c r="DP31" s="281"/>
      <c r="DQ31" s="281"/>
      <c r="DR31" s="281"/>
      <c r="DS31" s="281"/>
      <c r="DT31" s="281"/>
      <c r="DU31" s="281"/>
      <c r="DV31" s="281"/>
      <c r="DW31" s="281"/>
      <c r="DX31" s="281"/>
      <c r="DY31" s="281"/>
      <c r="DZ31" s="281"/>
      <c r="EA31" s="281"/>
      <c r="EB31" s="281"/>
      <c r="EC31" s="281"/>
      <c r="ED31" s="281"/>
      <c r="EE31" s="281"/>
      <c r="EF31" s="281"/>
      <c r="EG31" s="281"/>
      <c r="EH31" s="281"/>
      <c r="EI31" s="281"/>
      <c r="EJ31" s="281"/>
      <c r="EK31" s="281"/>
      <c r="EL31" s="281"/>
      <c r="EM31" s="281"/>
      <c r="EN31" s="281"/>
      <c r="EO31" s="281"/>
      <c r="EP31" s="281"/>
      <c r="EQ31" s="281"/>
      <c r="ER31" s="281"/>
      <c r="ES31" s="281"/>
      <c r="ET31" s="281"/>
      <c r="EU31" s="281"/>
      <c r="EV31" s="281"/>
      <c r="EW31" s="281"/>
      <c r="EX31" s="281"/>
      <c r="EY31" s="281"/>
      <c r="EZ31" s="281"/>
      <c r="FA31" s="281"/>
      <c r="FB31" s="281"/>
      <c r="FC31" s="281"/>
      <c r="FD31" s="281"/>
      <c r="FE31" s="281"/>
      <c r="FF31" s="281"/>
      <c r="FG31" s="281"/>
      <c r="FH31" s="281"/>
      <c r="FI31" s="281"/>
      <c r="FJ31" s="281"/>
      <c r="FK31" s="281"/>
      <c r="FL31" s="281"/>
      <c r="FM31" s="281"/>
      <c r="FN31" s="281"/>
      <c r="FO31" s="281"/>
      <c r="FP31" s="281"/>
      <c r="FQ31" s="281"/>
      <c r="FR31" s="281"/>
      <c r="FS31" s="281"/>
      <c r="FT31" s="281"/>
      <c r="FU31" s="281"/>
      <c r="FV31" s="281"/>
      <c r="FW31" s="281"/>
      <c r="FX31" s="281"/>
      <c r="FY31" s="281"/>
      <c r="FZ31" s="281"/>
      <c r="GA31" s="281"/>
      <c r="GB31" s="281"/>
      <c r="GC31" s="281"/>
      <c r="GD31" s="281"/>
      <c r="GE31" s="281"/>
      <c r="GF31" s="281"/>
      <c r="GG31" s="281"/>
      <c r="GH31" s="281"/>
      <c r="GI31" s="281"/>
      <c r="GJ31" s="281"/>
      <c r="GK31" s="281"/>
      <c r="GL31" s="281"/>
      <c r="GM31" s="281"/>
      <c r="GN31" s="281"/>
      <c r="GO31" s="281"/>
      <c r="GP31" s="281"/>
      <c r="GQ31" s="281"/>
      <c r="GR31" s="281"/>
      <c r="GS31" s="281"/>
      <c r="GT31" s="281"/>
      <c r="GU31" s="281"/>
      <c r="GV31" s="281"/>
      <c r="GW31" s="281"/>
      <c r="GX31" s="281"/>
      <c r="GY31" s="281"/>
      <c r="GZ31" s="281"/>
      <c r="HA31" s="281"/>
      <c r="HB31" s="281"/>
      <c r="HC31" s="281"/>
      <c r="HD31" s="281"/>
      <c r="HE31" s="281"/>
      <c r="HF31" s="281"/>
      <c r="HG31" s="281"/>
      <c r="HH31" s="281"/>
      <c r="HI31" s="281"/>
      <c r="HJ31" s="281"/>
      <c r="HK31" s="281"/>
      <c r="HL31" s="281"/>
      <c r="HM31" s="281"/>
      <c r="HN31" s="281"/>
      <c r="HO31" s="281"/>
      <c r="HP31" s="281"/>
      <c r="HQ31" s="281"/>
      <c r="HR31" s="281"/>
      <c r="HS31" s="281"/>
      <c r="HT31" s="281"/>
      <c r="HU31" s="281"/>
      <c r="HV31" s="281"/>
      <c r="HW31" s="281"/>
      <c r="HX31" s="281"/>
      <c r="HY31" s="281"/>
      <c r="HZ31" s="281"/>
      <c r="IA31" s="281"/>
      <c r="IB31" s="281"/>
      <c r="IC31" s="281"/>
      <c r="ID31" s="281"/>
      <c r="IE31" s="281"/>
      <c r="IF31" s="281"/>
      <c r="IG31" s="281"/>
      <c r="IH31" s="281"/>
      <c r="II31" s="281"/>
      <c r="IJ31" s="281"/>
      <c r="IK31" s="281"/>
      <c r="IL31" s="281"/>
      <c r="IM31" s="281"/>
      <c r="IN31" s="281"/>
      <c r="IO31" s="281"/>
      <c r="IP31" s="281"/>
      <c r="IQ31" s="281"/>
      <c r="IR31" s="281"/>
      <c r="IS31" s="281"/>
      <c r="IT31" s="281"/>
      <c r="IU31" s="282"/>
    </row>
    <row r="32" spans="1:255" ht="18" customHeight="1" x14ac:dyDescent="0.15">
      <c r="A32" s="6"/>
      <c r="B32" s="2823" t="s">
        <v>408</v>
      </c>
      <c r="C32" s="2824"/>
      <c r="D32" s="2824"/>
      <c r="E32" s="2824"/>
      <c r="F32" s="2824"/>
      <c r="G32" s="2824"/>
      <c r="H32" s="2824"/>
      <c r="I32" s="2824"/>
      <c r="J32" s="2824"/>
      <c r="K32" s="2824"/>
      <c r="L32" s="2824"/>
      <c r="M32" s="2850"/>
      <c r="N32" s="301"/>
      <c r="O32" s="281"/>
      <c r="P32" s="281"/>
      <c r="Q32" s="281"/>
      <c r="R32" s="281"/>
      <c r="S32" s="281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E32" s="281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  <c r="AR32" s="281"/>
      <c r="AS32" s="281"/>
      <c r="AT32" s="281"/>
      <c r="AU32" s="281"/>
      <c r="AV32" s="281"/>
      <c r="AW32" s="281"/>
      <c r="AX32" s="281"/>
      <c r="AY32" s="281"/>
      <c r="AZ32" s="281"/>
      <c r="BA32" s="281"/>
      <c r="BB32" s="281"/>
      <c r="BC32" s="281"/>
      <c r="BD32" s="281"/>
      <c r="BE32" s="281"/>
      <c r="BF32" s="281"/>
      <c r="BG32" s="281"/>
      <c r="BH32" s="281"/>
      <c r="BI32" s="281"/>
      <c r="BJ32" s="281"/>
      <c r="BK32" s="281"/>
      <c r="BL32" s="281"/>
      <c r="BM32" s="281"/>
      <c r="BN32" s="281"/>
      <c r="BO32" s="281"/>
      <c r="BP32" s="281"/>
      <c r="BQ32" s="281"/>
      <c r="BR32" s="281"/>
      <c r="BS32" s="281"/>
      <c r="BT32" s="281"/>
      <c r="BU32" s="281"/>
      <c r="BV32" s="281"/>
      <c r="BW32" s="281"/>
      <c r="BX32" s="281"/>
      <c r="BY32" s="281"/>
      <c r="BZ32" s="281"/>
      <c r="CA32" s="281"/>
      <c r="CB32" s="281"/>
      <c r="CC32" s="281"/>
      <c r="CD32" s="281"/>
      <c r="CE32" s="281"/>
      <c r="CF32" s="281"/>
      <c r="CG32" s="281"/>
      <c r="CH32" s="281"/>
      <c r="CI32" s="281"/>
      <c r="CJ32" s="281"/>
      <c r="CK32" s="281"/>
      <c r="CL32" s="281"/>
      <c r="CM32" s="281"/>
      <c r="CN32" s="281"/>
      <c r="CO32" s="281"/>
      <c r="CP32" s="281"/>
      <c r="CQ32" s="281"/>
      <c r="CR32" s="281"/>
      <c r="CS32" s="281"/>
      <c r="CT32" s="281"/>
      <c r="CU32" s="281"/>
      <c r="CV32" s="281"/>
      <c r="CW32" s="281"/>
      <c r="CX32" s="281"/>
      <c r="CY32" s="281"/>
      <c r="CZ32" s="281"/>
      <c r="DA32" s="281"/>
      <c r="DB32" s="281"/>
      <c r="DC32" s="281"/>
      <c r="DD32" s="281"/>
      <c r="DE32" s="281"/>
      <c r="DF32" s="281"/>
      <c r="DG32" s="281"/>
      <c r="DH32" s="281"/>
      <c r="DI32" s="281"/>
      <c r="DJ32" s="281"/>
      <c r="DK32" s="281"/>
      <c r="DL32" s="281"/>
      <c r="DM32" s="281"/>
      <c r="DN32" s="281"/>
      <c r="DO32" s="281"/>
      <c r="DP32" s="281"/>
      <c r="DQ32" s="281"/>
      <c r="DR32" s="281"/>
      <c r="DS32" s="281"/>
      <c r="DT32" s="281"/>
      <c r="DU32" s="281"/>
      <c r="DV32" s="281"/>
      <c r="DW32" s="281"/>
      <c r="DX32" s="281"/>
      <c r="DY32" s="281"/>
      <c r="DZ32" s="281"/>
      <c r="EA32" s="281"/>
      <c r="EB32" s="281"/>
      <c r="EC32" s="281"/>
      <c r="ED32" s="281"/>
      <c r="EE32" s="281"/>
      <c r="EF32" s="281"/>
      <c r="EG32" s="281"/>
      <c r="EH32" s="281"/>
      <c r="EI32" s="281"/>
      <c r="EJ32" s="281"/>
      <c r="EK32" s="281"/>
      <c r="EL32" s="281"/>
      <c r="EM32" s="281"/>
      <c r="EN32" s="281"/>
      <c r="EO32" s="281"/>
      <c r="EP32" s="281"/>
      <c r="EQ32" s="281"/>
      <c r="ER32" s="281"/>
      <c r="ES32" s="281"/>
      <c r="ET32" s="281"/>
      <c r="EU32" s="281"/>
      <c r="EV32" s="281"/>
      <c r="EW32" s="281"/>
      <c r="EX32" s="281"/>
      <c r="EY32" s="281"/>
      <c r="EZ32" s="281"/>
      <c r="FA32" s="281"/>
      <c r="FB32" s="281"/>
      <c r="FC32" s="281"/>
      <c r="FD32" s="281"/>
      <c r="FE32" s="281"/>
      <c r="FF32" s="281"/>
      <c r="FG32" s="281"/>
      <c r="FH32" s="281"/>
      <c r="FI32" s="281"/>
      <c r="FJ32" s="281"/>
      <c r="FK32" s="281"/>
      <c r="FL32" s="281"/>
      <c r="FM32" s="281"/>
      <c r="FN32" s="281"/>
      <c r="FO32" s="281"/>
      <c r="FP32" s="281"/>
      <c r="FQ32" s="281"/>
      <c r="FR32" s="281"/>
      <c r="FS32" s="281"/>
      <c r="FT32" s="281"/>
      <c r="FU32" s="281"/>
      <c r="FV32" s="281"/>
      <c r="FW32" s="281"/>
      <c r="FX32" s="281"/>
      <c r="FY32" s="281"/>
      <c r="FZ32" s="281"/>
      <c r="GA32" s="281"/>
      <c r="GB32" s="281"/>
      <c r="GC32" s="281"/>
      <c r="GD32" s="281"/>
      <c r="GE32" s="281"/>
      <c r="GF32" s="281"/>
      <c r="GG32" s="281"/>
      <c r="GH32" s="281"/>
      <c r="GI32" s="281"/>
      <c r="GJ32" s="281"/>
      <c r="GK32" s="281"/>
      <c r="GL32" s="281"/>
      <c r="GM32" s="281"/>
      <c r="GN32" s="281"/>
      <c r="GO32" s="281"/>
      <c r="GP32" s="281"/>
      <c r="GQ32" s="281"/>
      <c r="GR32" s="281"/>
      <c r="GS32" s="281"/>
      <c r="GT32" s="281"/>
      <c r="GU32" s="281"/>
      <c r="GV32" s="281"/>
      <c r="GW32" s="281"/>
      <c r="GX32" s="281"/>
      <c r="GY32" s="281"/>
      <c r="GZ32" s="281"/>
      <c r="HA32" s="281"/>
      <c r="HB32" s="281"/>
      <c r="HC32" s="281"/>
      <c r="HD32" s="281"/>
      <c r="HE32" s="281"/>
      <c r="HF32" s="281"/>
      <c r="HG32" s="281"/>
      <c r="HH32" s="281"/>
      <c r="HI32" s="281"/>
      <c r="HJ32" s="281"/>
      <c r="HK32" s="281"/>
      <c r="HL32" s="281"/>
      <c r="HM32" s="281"/>
      <c r="HN32" s="281"/>
      <c r="HO32" s="281"/>
      <c r="HP32" s="281"/>
      <c r="HQ32" s="281"/>
      <c r="HR32" s="281"/>
      <c r="HS32" s="281"/>
      <c r="HT32" s="281"/>
      <c r="HU32" s="281"/>
      <c r="HV32" s="281"/>
      <c r="HW32" s="281"/>
      <c r="HX32" s="281"/>
      <c r="HY32" s="281"/>
      <c r="HZ32" s="281"/>
      <c r="IA32" s="281"/>
      <c r="IB32" s="281"/>
      <c r="IC32" s="281"/>
      <c r="ID32" s="281"/>
      <c r="IE32" s="281"/>
      <c r="IF32" s="281"/>
      <c r="IG32" s="281"/>
      <c r="IH32" s="281"/>
      <c r="II32" s="281"/>
      <c r="IJ32" s="281"/>
      <c r="IK32" s="281"/>
      <c r="IL32" s="281"/>
      <c r="IM32" s="281"/>
      <c r="IN32" s="281"/>
      <c r="IO32" s="281"/>
      <c r="IP32" s="281"/>
      <c r="IQ32" s="281"/>
      <c r="IR32" s="281"/>
      <c r="IS32" s="281"/>
      <c r="IT32" s="281"/>
      <c r="IU32" s="282"/>
    </row>
    <row r="33" spans="1:255" ht="18" customHeight="1" x14ac:dyDescent="0.15">
      <c r="A33" s="6"/>
      <c r="B33" s="990" t="s">
        <v>243</v>
      </c>
      <c r="C33" s="1664">
        <v>9</v>
      </c>
      <c r="D33" s="951">
        <v>1</v>
      </c>
      <c r="E33" s="1660">
        <v>3</v>
      </c>
      <c r="F33" s="952">
        <v>2</v>
      </c>
      <c r="G33" s="953">
        <v>4</v>
      </c>
      <c r="H33" s="954">
        <v>5</v>
      </c>
      <c r="I33" s="955">
        <v>10</v>
      </c>
      <c r="J33" s="956">
        <v>7</v>
      </c>
      <c r="K33" s="957">
        <v>8</v>
      </c>
      <c r="L33" s="1020">
        <v>6</v>
      </c>
      <c r="M33" s="992" t="s">
        <v>243</v>
      </c>
      <c r="N33" s="301"/>
      <c r="O33" s="281"/>
      <c r="P33" s="281"/>
      <c r="Q33" s="281"/>
      <c r="R33" s="281"/>
      <c r="S33" s="281"/>
      <c r="T33" s="281"/>
      <c r="U33" s="281"/>
      <c r="V33" s="281"/>
      <c r="W33" s="281"/>
      <c r="X33" s="281"/>
      <c r="Y33" s="281"/>
      <c r="Z33" s="281"/>
      <c r="AA33" s="281"/>
      <c r="AB33" s="281"/>
      <c r="AC33" s="281"/>
      <c r="AD33" s="281"/>
      <c r="AE33" s="281"/>
      <c r="AF33" s="281"/>
      <c r="AG33" s="281"/>
      <c r="AH33" s="281"/>
      <c r="AI33" s="281"/>
      <c r="AJ33" s="281"/>
      <c r="AK33" s="281"/>
      <c r="AL33" s="281"/>
      <c r="AM33" s="281"/>
      <c r="AN33" s="281"/>
      <c r="AO33" s="281"/>
      <c r="AP33" s="281"/>
      <c r="AQ33" s="281"/>
      <c r="AR33" s="281"/>
      <c r="AS33" s="281"/>
      <c r="AT33" s="281"/>
      <c r="AU33" s="281"/>
      <c r="AV33" s="281"/>
      <c r="AW33" s="281"/>
      <c r="AX33" s="281"/>
      <c r="AY33" s="281"/>
      <c r="AZ33" s="281"/>
      <c r="BA33" s="281"/>
      <c r="BB33" s="281"/>
      <c r="BC33" s="281"/>
      <c r="BD33" s="281"/>
      <c r="BE33" s="281"/>
      <c r="BF33" s="281"/>
      <c r="BG33" s="281"/>
      <c r="BH33" s="281"/>
      <c r="BI33" s="281"/>
      <c r="BJ33" s="281"/>
      <c r="BK33" s="281"/>
      <c r="BL33" s="281"/>
      <c r="BM33" s="281"/>
      <c r="BN33" s="281"/>
      <c r="BO33" s="281"/>
      <c r="BP33" s="281"/>
      <c r="BQ33" s="281"/>
      <c r="BR33" s="281"/>
      <c r="BS33" s="281"/>
      <c r="BT33" s="281"/>
      <c r="BU33" s="281"/>
      <c r="BV33" s="281"/>
      <c r="BW33" s="281"/>
      <c r="BX33" s="281"/>
      <c r="BY33" s="281"/>
      <c r="BZ33" s="281"/>
      <c r="CA33" s="281"/>
      <c r="CB33" s="281"/>
      <c r="CC33" s="281"/>
      <c r="CD33" s="281"/>
      <c r="CE33" s="281"/>
      <c r="CF33" s="281"/>
      <c r="CG33" s="281"/>
      <c r="CH33" s="281"/>
      <c r="CI33" s="281"/>
      <c r="CJ33" s="281"/>
      <c r="CK33" s="281"/>
      <c r="CL33" s="281"/>
      <c r="CM33" s="281"/>
      <c r="CN33" s="281"/>
      <c r="CO33" s="281"/>
      <c r="CP33" s="281"/>
      <c r="CQ33" s="281"/>
      <c r="CR33" s="281"/>
      <c r="CS33" s="281"/>
      <c r="CT33" s="281"/>
      <c r="CU33" s="281"/>
      <c r="CV33" s="281"/>
      <c r="CW33" s="281"/>
      <c r="CX33" s="281"/>
      <c r="CY33" s="281"/>
      <c r="CZ33" s="281"/>
      <c r="DA33" s="281"/>
      <c r="DB33" s="281"/>
      <c r="DC33" s="281"/>
      <c r="DD33" s="281"/>
      <c r="DE33" s="281"/>
      <c r="DF33" s="281"/>
      <c r="DG33" s="281"/>
      <c r="DH33" s="281"/>
      <c r="DI33" s="281"/>
      <c r="DJ33" s="281"/>
      <c r="DK33" s="281"/>
      <c r="DL33" s="281"/>
      <c r="DM33" s="281"/>
      <c r="DN33" s="281"/>
      <c r="DO33" s="281"/>
      <c r="DP33" s="281"/>
      <c r="DQ33" s="281"/>
      <c r="DR33" s="281"/>
      <c r="DS33" s="281"/>
      <c r="DT33" s="281"/>
      <c r="DU33" s="281"/>
      <c r="DV33" s="281"/>
      <c r="DW33" s="281"/>
      <c r="DX33" s="281"/>
      <c r="DY33" s="281"/>
      <c r="DZ33" s="281"/>
      <c r="EA33" s="281"/>
      <c r="EB33" s="281"/>
      <c r="EC33" s="281"/>
      <c r="ED33" s="281"/>
      <c r="EE33" s="281"/>
      <c r="EF33" s="281"/>
      <c r="EG33" s="281"/>
      <c r="EH33" s="281"/>
      <c r="EI33" s="281"/>
      <c r="EJ33" s="281"/>
      <c r="EK33" s="281"/>
      <c r="EL33" s="281"/>
      <c r="EM33" s="281"/>
      <c r="EN33" s="281"/>
      <c r="EO33" s="281"/>
      <c r="EP33" s="281"/>
      <c r="EQ33" s="281"/>
      <c r="ER33" s="281"/>
      <c r="ES33" s="281"/>
      <c r="ET33" s="281"/>
      <c r="EU33" s="281"/>
      <c r="EV33" s="281"/>
      <c r="EW33" s="281"/>
      <c r="EX33" s="281"/>
      <c r="EY33" s="281"/>
      <c r="EZ33" s="281"/>
      <c r="FA33" s="281"/>
      <c r="FB33" s="281"/>
      <c r="FC33" s="281"/>
      <c r="FD33" s="281"/>
      <c r="FE33" s="281"/>
      <c r="FF33" s="281"/>
      <c r="FG33" s="281"/>
      <c r="FH33" s="281"/>
      <c r="FI33" s="281"/>
      <c r="FJ33" s="281"/>
      <c r="FK33" s="281"/>
      <c r="FL33" s="281"/>
      <c r="FM33" s="281"/>
      <c r="FN33" s="281"/>
      <c r="FO33" s="281"/>
      <c r="FP33" s="281"/>
      <c r="FQ33" s="281"/>
      <c r="FR33" s="281"/>
      <c r="FS33" s="281"/>
      <c r="FT33" s="281"/>
      <c r="FU33" s="281"/>
      <c r="FV33" s="281"/>
      <c r="FW33" s="281"/>
      <c r="FX33" s="281"/>
      <c r="FY33" s="281"/>
      <c r="FZ33" s="281"/>
      <c r="GA33" s="281"/>
      <c r="GB33" s="281"/>
      <c r="GC33" s="281"/>
      <c r="GD33" s="281"/>
      <c r="GE33" s="281"/>
      <c r="GF33" s="281"/>
      <c r="GG33" s="281"/>
      <c r="GH33" s="281"/>
      <c r="GI33" s="281"/>
      <c r="GJ33" s="281"/>
      <c r="GK33" s="281"/>
      <c r="GL33" s="281"/>
      <c r="GM33" s="281"/>
      <c r="GN33" s="281"/>
      <c r="GO33" s="281"/>
      <c r="GP33" s="281"/>
      <c r="GQ33" s="281"/>
      <c r="GR33" s="281"/>
      <c r="GS33" s="281"/>
      <c r="GT33" s="281"/>
      <c r="GU33" s="281"/>
      <c r="GV33" s="281"/>
      <c r="GW33" s="281"/>
      <c r="GX33" s="281"/>
      <c r="GY33" s="281"/>
      <c r="GZ33" s="281"/>
      <c r="HA33" s="281"/>
      <c r="HB33" s="281"/>
      <c r="HC33" s="281"/>
      <c r="HD33" s="281"/>
      <c r="HE33" s="281"/>
      <c r="HF33" s="281"/>
      <c r="HG33" s="281"/>
      <c r="HH33" s="281"/>
      <c r="HI33" s="281"/>
      <c r="HJ33" s="281"/>
      <c r="HK33" s="281"/>
      <c r="HL33" s="281"/>
      <c r="HM33" s="281"/>
      <c r="HN33" s="281"/>
      <c r="HO33" s="281"/>
      <c r="HP33" s="281"/>
      <c r="HQ33" s="281"/>
      <c r="HR33" s="281"/>
      <c r="HS33" s="281"/>
      <c r="HT33" s="281"/>
      <c r="HU33" s="281"/>
      <c r="HV33" s="281"/>
      <c r="HW33" s="281"/>
      <c r="HX33" s="281"/>
      <c r="HY33" s="281"/>
      <c r="HZ33" s="281"/>
      <c r="IA33" s="281"/>
      <c r="IB33" s="281"/>
      <c r="IC33" s="281"/>
      <c r="ID33" s="281"/>
      <c r="IE33" s="281"/>
      <c r="IF33" s="281"/>
      <c r="IG33" s="281"/>
      <c r="IH33" s="281"/>
      <c r="II33" s="281"/>
      <c r="IJ33" s="281"/>
      <c r="IK33" s="281"/>
      <c r="IL33" s="281"/>
      <c r="IM33" s="281"/>
      <c r="IN33" s="281"/>
      <c r="IO33" s="281"/>
      <c r="IP33" s="281"/>
      <c r="IQ33" s="281"/>
      <c r="IR33" s="281"/>
      <c r="IS33" s="281"/>
      <c r="IT33" s="281"/>
      <c r="IU33" s="282"/>
    </row>
    <row r="34" spans="1:255" ht="18" customHeight="1" x14ac:dyDescent="0.15">
      <c r="A34" s="6"/>
      <c r="B34" s="990" t="s">
        <v>244</v>
      </c>
      <c r="C34" s="1665">
        <f t="shared" ref="C34:L34" si="4">RANK(C7,$C$7:$L$7,0)</f>
        <v>6</v>
      </c>
      <c r="D34" s="941">
        <f t="shared" si="4"/>
        <v>8</v>
      </c>
      <c r="E34" s="1658">
        <f t="shared" si="4"/>
        <v>1</v>
      </c>
      <c r="F34" s="943">
        <f t="shared" si="4"/>
        <v>5</v>
      </c>
      <c r="G34" s="944">
        <f t="shared" si="4"/>
        <v>3</v>
      </c>
      <c r="H34" s="945">
        <f t="shared" si="4"/>
        <v>4</v>
      </c>
      <c r="I34" s="946">
        <f t="shared" si="4"/>
        <v>10</v>
      </c>
      <c r="J34" s="947">
        <f t="shared" si="4"/>
        <v>9</v>
      </c>
      <c r="K34" s="948">
        <f t="shared" si="4"/>
        <v>7</v>
      </c>
      <c r="L34" s="1702">
        <f t="shared" si="4"/>
        <v>2</v>
      </c>
      <c r="M34" s="992" t="s">
        <v>244</v>
      </c>
      <c r="N34" s="30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  <c r="AR34" s="281"/>
      <c r="AS34" s="281"/>
      <c r="AT34" s="281"/>
      <c r="AU34" s="281"/>
      <c r="AV34" s="281"/>
      <c r="AW34" s="281"/>
      <c r="AX34" s="281"/>
      <c r="AY34" s="281"/>
      <c r="AZ34" s="281"/>
      <c r="BA34" s="281"/>
      <c r="BB34" s="281"/>
      <c r="BC34" s="281"/>
      <c r="BD34" s="281"/>
      <c r="BE34" s="281"/>
      <c r="BF34" s="281"/>
      <c r="BG34" s="281"/>
      <c r="BH34" s="281"/>
      <c r="BI34" s="281"/>
      <c r="BJ34" s="281"/>
      <c r="BK34" s="281"/>
      <c r="BL34" s="281"/>
      <c r="BM34" s="281"/>
      <c r="BN34" s="281"/>
      <c r="BO34" s="281"/>
      <c r="BP34" s="281"/>
      <c r="BQ34" s="281"/>
      <c r="BR34" s="281"/>
      <c r="BS34" s="281"/>
      <c r="BT34" s="281"/>
      <c r="BU34" s="281"/>
      <c r="BV34" s="281"/>
      <c r="BW34" s="281"/>
      <c r="BX34" s="281"/>
      <c r="BY34" s="281"/>
      <c r="BZ34" s="281"/>
      <c r="CA34" s="281"/>
      <c r="CB34" s="281"/>
      <c r="CC34" s="281"/>
      <c r="CD34" s="281"/>
      <c r="CE34" s="281"/>
      <c r="CF34" s="281"/>
      <c r="CG34" s="281"/>
      <c r="CH34" s="281"/>
      <c r="CI34" s="281"/>
      <c r="CJ34" s="281"/>
      <c r="CK34" s="281"/>
      <c r="CL34" s="281"/>
      <c r="CM34" s="281"/>
      <c r="CN34" s="281"/>
      <c r="CO34" s="281"/>
      <c r="CP34" s="281"/>
      <c r="CQ34" s="281"/>
      <c r="CR34" s="281"/>
      <c r="CS34" s="281"/>
      <c r="CT34" s="281"/>
      <c r="CU34" s="281"/>
      <c r="CV34" s="281"/>
      <c r="CW34" s="281"/>
      <c r="CX34" s="281"/>
      <c r="CY34" s="281"/>
      <c r="CZ34" s="281"/>
      <c r="DA34" s="281"/>
      <c r="DB34" s="281"/>
      <c r="DC34" s="281"/>
      <c r="DD34" s="281"/>
      <c r="DE34" s="281"/>
      <c r="DF34" s="281"/>
      <c r="DG34" s="281"/>
      <c r="DH34" s="281"/>
      <c r="DI34" s="281"/>
      <c r="DJ34" s="281"/>
      <c r="DK34" s="281"/>
      <c r="DL34" s="281"/>
      <c r="DM34" s="281"/>
      <c r="DN34" s="281"/>
      <c r="DO34" s="281"/>
      <c r="DP34" s="281"/>
      <c r="DQ34" s="281"/>
      <c r="DR34" s="281"/>
      <c r="DS34" s="281"/>
      <c r="DT34" s="281"/>
      <c r="DU34" s="281"/>
      <c r="DV34" s="281"/>
      <c r="DW34" s="281"/>
      <c r="DX34" s="281"/>
      <c r="DY34" s="281"/>
      <c r="DZ34" s="281"/>
      <c r="EA34" s="281"/>
      <c r="EB34" s="281"/>
      <c r="EC34" s="281"/>
      <c r="ED34" s="281"/>
      <c r="EE34" s="281"/>
      <c r="EF34" s="281"/>
      <c r="EG34" s="281"/>
      <c r="EH34" s="281"/>
      <c r="EI34" s="281"/>
      <c r="EJ34" s="281"/>
      <c r="EK34" s="281"/>
      <c r="EL34" s="281"/>
      <c r="EM34" s="281"/>
      <c r="EN34" s="281"/>
      <c r="EO34" s="281"/>
      <c r="EP34" s="281"/>
      <c r="EQ34" s="281"/>
      <c r="ER34" s="281"/>
      <c r="ES34" s="281"/>
      <c r="ET34" s="281"/>
      <c r="EU34" s="281"/>
      <c r="EV34" s="281"/>
      <c r="EW34" s="281"/>
      <c r="EX34" s="281"/>
      <c r="EY34" s="281"/>
      <c r="EZ34" s="281"/>
      <c r="FA34" s="281"/>
      <c r="FB34" s="281"/>
      <c r="FC34" s="281"/>
      <c r="FD34" s="281"/>
      <c r="FE34" s="281"/>
      <c r="FF34" s="281"/>
      <c r="FG34" s="281"/>
      <c r="FH34" s="281"/>
      <c r="FI34" s="281"/>
      <c r="FJ34" s="281"/>
      <c r="FK34" s="281"/>
      <c r="FL34" s="281"/>
      <c r="FM34" s="281"/>
      <c r="FN34" s="281"/>
      <c r="FO34" s="281"/>
      <c r="FP34" s="281"/>
      <c r="FQ34" s="281"/>
      <c r="FR34" s="281"/>
      <c r="FS34" s="281"/>
      <c r="FT34" s="281"/>
      <c r="FU34" s="281"/>
      <c r="FV34" s="281"/>
      <c r="FW34" s="281"/>
      <c r="FX34" s="281"/>
      <c r="FY34" s="281"/>
      <c r="FZ34" s="281"/>
      <c r="GA34" s="281"/>
      <c r="GB34" s="281"/>
      <c r="GC34" s="281"/>
      <c r="GD34" s="281"/>
      <c r="GE34" s="281"/>
      <c r="GF34" s="281"/>
      <c r="GG34" s="281"/>
      <c r="GH34" s="281"/>
      <c r="GI34" s="281"/>
      <c r="GJ34" s="281"/>
      <c r="GK34" s="281"/>
      <c r="GL34" s="281"/>
      <c r="GM34" s="281"/>
      <c r="GN34" s="281"/>
      <c r="GO34" s="281"/>
      <c r="GP34" s="281"/>
      <c r="GQ34" s="281"/>
      <c r="GR34" s="281"/>
      <c r="GS34" s="281"/>
      <c r="GT34" s="281"/>
      <c r="GU34" s="281"/>
      <c r="GV34" s="281"/>
      <c r="GW34" s="281"/>
      <c r="GX34" s="281"/>
      <c r="GY34" s="281"/>
      <c r="GZ34" s="281"/>
      <c r="HA34" s="281"/>
      <c r="HB34" s="281"/>
      <c r="HC34" s="281"/>
      <c r="HD34" s="281"/>
      <c r="HE34" s="281"/>
      <c r="HF34" s="281"/>
      <c r="HG34" s="281"/>
      <c r="HH34" s="281"/>
      <c r="HI34" s="281"/>
      <c r="HJ34" s="281"/>
      <c r="HK34" s="281"/>
      <c r="HL34" s="281"/>
      <c r="HM34" s="281"/>
      <c r="HN34" s="281"/>
      <c r="HO34" s="281"/>
      <c r="HP34" s="281"/>
      <c r="HQ34" s="281"/>
      <c r="HR34" s="281"/>
      <c r="HS34" s="281"/>
      <c r="HT34" s="281"/>
      <c r="HU34" s="281"/>
      <c r="HV34" s="281"/>
      <c r="HW34" s="281"/>
      <c r="HX34" s="281"/>
      <c r="HY34" s="281"/>
      <c r="HZ34" s="281"/>
      <c r="IA34" s="281"/>
      <c r="IB34" s="281"/>
      <c r="IC34" s="281"/>
      <c r="ID34" s="281"/>
      <c r="IE34" s="281"/>
      <c r="IF34" s="281"/>
      <c r="IG34" s="281"/>
      <c r="IH34" s="281"/>
      <c r="II34" s="281"/>
      <c r="IJ34" s="281"/>
      <c r="IK34" s="281"/>
      <c r="IL34" s="281"/>
      <c r="IM34" s="281"/>
      <c r="IN34" s="281"/>
      <c r="IO34" s="281"/>
      <c r="IP34" s="281"/>
      <c r="IQ34" s="281"/>
      <c r="IR34" s="281"/>
      <c r="IS34" s="281"/>
      <c r="IT34" s="281"/>
      <c r="IU34" s="282"/>
    </row>
    <row r="35" spans="1:255" ht="18" customHeight="1" x14ac:dyDescent="0.15">
      <c r="A35" s="6"/>
      <c r="B35" s="990" t="s">
        <v>292</v>
      </c>
      <c r="C35" s="1664">
        <f>RANK(C24,$C$24:$L$24,1)</f>
        <v>10</v>
      </c>
      <c r="D35" s="951">
        <f>RANK(D24,$C$24:$M$24,1)</f>
        <v>1</v>
      </c>
      <c r="E35" s="1660">
        <f t="shared" ref="E35:L35" si="5">RANK(E24,$C$24:$L$24,1)</f>
        <v>4</v>
      </c>
      <c r="F35" s="952">
        <f t="shared" si="5"/>
        <v>9</v>
      </c>
      <c r="G35" s="953">
        <f t="shared" si="5"/>
        <v>2</v>
      </c>
      <c r="H35" s="954">
        <f t="shared" si="5"/>
        <v>3</v>
      </c>
      <c r="I35" s="955">
        <f t="shared" si="5"/>
        <v>6</v>
      </c>
      <c r="J35" s="956">
        <f t="shared" si="5"/>
        <v>7</v>
      </c>
      <c r="K35" s="957">
        <f t="shared" si="5"/>
        <v>8</v>
      </c>
      <c r="L35" s="1020">
        <f t="shared" si="5"/>
        <v>5</v>
      </c>
      <c r="M35" s="992" t="s">
        <v>292</v>
      </c>
      <c r="N35" s="301"/>
      <c r="O35" s="281"/>
      <c r="P35" s="281"/>
      <c r="Q35" s="281"/>
      <c r="R35" s="281"/>
      <c r="S35" s="281"/>
      <c r="T35" s="281"/>
      <c r="U35" s="281"/>
      <c r="V35" s="281"/>
      <c r="W35" s="281"/>
      <c r="X35" s="281"/>
      <c r="Y35" s="281"/>
      <c r="Z35" s="281"/>
      <c r="AA35" s="281"/>
      <c r="AB35" s="281"/>
      <c r="AC35" s="281"/>
      <c r="AD35" s="281"/>
      <c r="AE35" s="281"/>
      <c r="AF35" s="281"/>
      <c r="AG35" s="281"/>
      <c r="AH35" s="281"/>
      <c r="AI35" s="281"/>
      <c r="AJ35" s="281"/>
      <c r="AK35" s="281"/>
      <c r="AL35" s="281"/>
      <c r="AM35" s="281"/>
      <c r="AN35" s="281"/>
      <c r="AO35" s="281"/>
      <c r="AP35" s="281"/>
      <c r="AQ35" s="281"/>
      <c r="AR35" s="281"/>
      <c r="AS35" s="281"/>
      <c r="AT35" s="281"/>
      <c r="AU35" s="281"/>
      <c r="AV35" s="281"/>
      <c r="AW35" s="281"/>
      <c r="AX35" s="281"/>
      <c r="AY35" s="281"/>
      <c r="AZ35" s="281"/>
      <c r="BA35" s="281"/>
      <c r="BB35" s="281"/>
      <c r="BC35" s="281"/>
      <c r="BD35" s="281"/>
      <c r="BE35" s="281"/>
      <c r="BF35" s="281"/>
      <c r="BG35" s="281"/>
      <c r="BH35" s="281"/>
      <c r="BI35" s="281"/>
      <c r="BJ35" s="281"/>
      <c r="BK35" s="281"/>
      <c r="BL35" s="281"/>
      <c r="BM35" s="281"/>
      <c r="BN35" s="281"/>
      <c r="BO35" s="281"/>
      <c r="BP35" s="281"/>
      <c r="BQ35" s="281"/>
      <c r="BR35" s="281"/>
      <c r="BS35" s="281"/>
      <c r="BT35" s="281"/>
      <c r="BU35" s="281"/>
      <c r="BV35" s="281"/>
      <c r="BW35" s="281"/>
      <c r="BX35" s="281"/>
      <c r="BY35" s="281"/>
      <c r="BZ35" s="281"/>
      <c r="CA35" s="281"/>
      <c r="CB35" s="281"/>
      <c r="CC35" s="281"/>
      <c r="CD35" s="281"/>
      <c r="CE35" s="281"/>
      <c r="CF35" s="281"/>
      <c r="CG35" s="281"/>
      <c r="CH35" s="281"/>
      <c r="CI35" s="281"/>
      <c r="CJ35" s="281"/>
      <c r="CK35" s="281"/>
      <c r="CL35" s="281"/>
      <c r="CM35" s="281"/>
      <c r="CN35" s="281"/>
      <c r="CO35" s="281"/>
      <c r="CP35" s="281"/>
      <c r="CQ35" s="281"/>
      <c r="CR35" s="281"/>
      <c r="CS35" s="281"/>
      <c r="CT35" s="281"/>
      <c r="CU35" s="281"/>
      <c r="CV35" s="281"/>
      <c r="CW35" s="281"/>
      <c r="CX35" s="281"/>
      <c r="CY35" s="281"/>
      <c r="CZ35" s="281"/>
      <c r="DA35" s="281"/>
      <c r="DB35" s="281"/>
      <c r="DC35" s="281"/>
      <c r="DD35" s="281"/>
      <c r="DE35" s="281"/>
      <c r="DF35" s="281"/>
      <c r="DG35" s="281"/>
      <c r="DH35" s="281"/>
      <c r="DI35" s="281"/>
      <c r="DJ35" s="281"/>
      <c r="DK35" s="281"/>
      <c r="DL35" s="281"/>
      <c r="DM35" s="281"/>
      <c r="DN35" s="281"/>
      <c r="DO35" s="281"/>
      <c r="DP35" s="281"/>
      <c r="DQ35" s="281"/>
      <c r="DR35" s="281"/>
      <c r="DS35" s="281"/>
      <c r="DT35" s="281"/>
      <c r="DU35" s="281"/>
      <c r="DV35" s="281"/>
      <c r="DW35" s="281"/>
      <c r="DX35" s="281"/>
      <c r="DY35" s="281"/>
      <c r="DZ35" s="281"/>
      <c r="EA35" s="281"/>
      <c r="EB35" s="281"/>
      <c r="EC35" s="281"/>
      <c r="ED35" s="281"/>
      <c r="EE35" s="281"/>
      <c r="EF35" s="281"/>
      <c r="EG35" s="281"/>
      <c r="EH35" s="281"/>
      <c r="EI35" s="281"/>
      <c r="EJ35" s="281"/>
      <c r="EK35" s="281"/>
      <c r="EL35" s="281"/>
      <c r="EM35" s="281"/>
      <c r="EN35" s="281"/>
      <c r="EO35" s="281"/>
      <c r="EP35" s="281"/>
      <c r="EQ35" s="281"/>
      <c r="ER35" s="281"/>
      <c r="ES35" s="281"/>
      <c r="ET35" s="281"/>
      <c r="EU35" s="281"/>
      <c r="EV35" s="281"/>
      <c r="EW35" s="281"/>
      <c r="EX35" s="281"/>
      <c r="EY35" s="281"/>
      <c r="EZ35" s="281"/>
      <c r="FA35" s="281"/>
      <c r="FB35" s="281"/>
      <c r="FC35" s="281"/>
      <c r="FD35" s="281"/>
      <c r="FE35" s="281"/>
      <c r="FF35" s="281"/>
      <c r="FG35" s="281"/>
      <c r="FH35" s="281"/>
      <c r="FI35" s="281"/>
      <c r="FJ35" s="281"/>
      <c r="FK35" s="281"/>
      <c r="FL35" s="281"/>
      <c r="FM35" s="281"/>
      <c r="FN35" s="281"/>
      <c r="FO35" s="281"/>
      <c r="FP35" s="281"/>
      <c r="FQ35" s="281"/>
      <c r="FR35" s="281"/>
      <c r="FS35" s="281"/>
      <c r="FT35" s="281"/>
      <c r="FU35" s="281"/>
      <c r="FV35" s="281"/>
      <c r="FW35" s="281"/>
      <c r="FX35" s="281"/>
      <c r="FY35" s="281"/>
      <c r="FZ35" s="281"/>
      <c r="GA35" s="281"/>
      <c r="GB35" s="281"/>
      <c r="GC35" s="281"/>
      <c r="GD35" s="281"/>
      <c r="GE35" s="281"/>
      <c r="GF35" s="281"/>
      <c r="GG35" s="281"/>
      <c r="GH35" s="281"/>
      <c r="GI35" s="281"/>
      <c r="GJ35" s="281"/>
      <c r="GK35" s="281"/>
      <c r="GL35" s="281"/>
      <c r="GM35" s="281"/>
      <c r="GN35" s="281"/>
      <c r="GO35" s="281"/>
      <c r="GP35" s="281"/>
      <c r="GQ35" s="281"/>
      <c r="GR35" s="281"/>
      <c r="GS35" s="281"/>
      <c r="GT35" s="281"/>
      <c r="GU35" s="281"/>
      <c r="GV35" s="281"/>
      <c r="GW35" s="281"/>
      <c r="GX35" s="281"/>
      <c r="GY35" s="281"/>
      <c r="GZ35" s="281"/>
      <c r="HA35" s="281"/>
      <c r="HB35" s="281"/>
      <c r="HC35" s="281"/>
      <c r="HD35" s="281"/>
      <c r="HE35" s="281"/>
      <c r="HF35" s="281"/>
      <c r="HG35" s="281"/>
      <c r="HH35" s="281"/>
      <c r="HI35" s="281"/>
      <c r="HJ35" s="281"/>
      <c r="HK35" s="281"/>
      <c r="HL35" s="281"/>
      <c r="HM35" s="281"/>
      <c r="HN35" s="281"/>
      <c r="HO35" s="281"/>
      <c r="HP35" s="281"/>
      <c r="HQ35" s="281"/>
      <c r="HR35" s="281"/>
      <c r="HS35" s="281"/>
      <c r="HT35" s="281"/>
      <c r="HU35" s="281"/>
      <c r="HV35" s="281"/>
      <c r="HW35" s="281"/>
      <c r="HX35" s="281"/>
      <c r="HY35" s="281"/>
      <c r="HZ35" s="281"/>
      <c r="IA35" s="281"/>
      <c r="IB35" s="281"/>
      <c r="IC35" s="281"/>
      <c r="ID35" s="281"/>
      <c r="IE35" s="281"/>
      <c r="IF35" s="281"/>
      <c r="IG35" s="281"/>
      <c r="IH35" s="281"/>
      <c r="II35" s="281"/>
      <c r="IJ35" s="281"/>
      <c r="IK35" s="281"/>
      <c r="IL35" s="281"/>
      <c r="IM35" s="281"/>
      <c r="IN35" s="281"/>
      <c r="IO35" s="281"/>
      <c r="IP35" s="281"/>
      <c r="IQ35" s="281"/>
      <c r="IR35" s="281"/>
      <c r="IS35" s="281"/>
      <c r="IT35" s="281"/>
      <c r="IU35" s="282"/>
    </row>
    <row r="36" spans="1:255" ht="18" customHeight="1" x14ac:dyDescent="0.15">
      <c r="A36" s="6"/>
      <c r="B36" s="990" t="s">
        <v>293</v>
      </c>
      <c r="C36" s="1665"/>
      <c r="D36" s="941"/>
      <c r="E36" s="1658"/>
      <c r="F36" s="1002"/>
      <c r="G36" s="944"/>
      <c r="H36" s="945"/>
      <c r="I36" s="946"/>
      <c r="J36" s="947"/>
      <c r="K36" s="948"/>
      <c r="L36" s="949"/>
      <c r="M36" s="992" t="s">
        <v>293</v>
      </c>
      <c r="N36" s="301"/>
      <c r="O36" s="281"/>
      <c r="P36" s="281"/>
      <c r="Q36" s="281"/>
      <c r="R36" s="281"/>
      <c r="S36" s="281"/>
      <c r="T36" s="281"/>
      <c r="U36" s="281"/>
      <c r="V36" s="281"/>
      <c r="W36" s="281"/>
      <c r="X36" s="281"/>
      <c r="Y36" s="281"/>
      <c r="Z36" s="281"/>
      <c r="AA36" s="281"/>
      <c r="AB36" s="281"/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81"/>
      <c r="AN36" s="281"/>
      <c r="AO36" s="281"/>
      <c r="AP36" s="281"/>
      <c r="AQ36" s="281"/>
      <c r="AR36" s="281"/>
      <c r="AS36" s="281"/>
      <c r="AT36" s="281"/>
      <c r="AU36" s="281"/>
      <c r="AV36" s="281"/>
      <c r="AW36" s="281"/>
      <c r="AX36" s="281"/>
      <c r="AY36" s="281"/>
      <c r="AZ36" s="281"/>
      <c r="BA36" s="281"/>
      <c r="BB36" s="281"/>
      <c r="BC36" s="281"/>
      <c r="BD36" s="281"/>
      <c r="BE36" s="281"/>
      <c r="BF36" s="281"/>
      <c r="BG36" s="281"/>
      <c r="BH36" s="281"/>
      <c r="BI36" s="281"/>
      <c r="BJ36" s="281"/>
      <c r="BK36" s="281"/>
      <c r="BL36" s="281"/>
      <c r="BM36" s="281"/>
      <c r="BN36" s="281"/>
      <c r="BO36" s="281"/>
      <c r="BP36" s="281"/>
      <c r="BQ36" s="281"/>
      <c r="BR36" s="281"/>
      <c r="BS36" s="281"/>
      <c r="BT36" s="281"/>
      <c r="BU36" s="281"/>
      <c r="BV36" s="281"/>
      <c r="BW36" s="281"/>
      <c r="BX36" s="281"/>
      <c r="BY36" s="281"/>
      <c r="BZ36" s="281"/>
      <c r="CA36" s="281"/>
      <c r="CB36" s="281"/>
      <c r="CC36" s="281"/>
      <c r="CD36" s="281"/>
      <c r="CE36" s="281"/>
      <c r="CF36" s="281"/>
      <c r="CG36" s="281"/>
      <c r="CH36" s="281"/>
      <c r="CI36" s="281"/>
      <c r="CJ36" s="281"/>
      <c r="CK36" s="281"/>
      <c r="CL36" s="281"/>
      <c r="CM36" s="281"/>
      <c r="CN36" s="281"/>
      <c r="CO36" s="281"/>
      <c r="CP36" s="281"/>
      <c r="CQ36" s="281"/>
      <c r="CR36" s="281"/>
      <c r="CS36" s="281"/>
      <c r="CT36" s="281"/>
      <c r="CU36" s="281"/>
      <c r="CV36" s="281"/>
      <c r="CW36" s="281"/>
      <c r="CX36" s="281"/>
      <c r="CY36" s="281"/>
      <c r="CZ36" s="281"/>
      <c r="DA36" s="281"/>
      <c r="DB36" s="281"/>
      <c r="DC36" s="281"/>
      <c r="DD36" s="281"/>
      <c r="DE36" s="281"/>
      <c r="DF36" s="281"/>
      <c r="DG36" s="281"/>
      <c r="DH36" s="281"/>
      <c r="DI36" s="281"/>
      <c r="DJ36" s="281"/>
      <c r="DK36" s="281"/>
      <c r="DL36" s="281"/>
      <c r="DM36" s="281"/>
      <c r="DN36" s="281"/>
      <c r="DO36" s="281"/>
      <c r="DP36" s="281"/>
      <c r="DQ36" s="281"/>
      <c r="DR36" s="281"/>
      <c r="DS36" s="281"/>
      <c r="DT36" s="281"/>
      <c r="DU36" s="281"/>
      <c r="DV36" s="281"/>
      <c r="DW36" s="281"/>
      <c r="DX36" s="281"/>
      <c r="DY36" s="281"/>
      <c r="DZ36" s="281"/>
      <c r="EA36" s="281"/>
      <c r="EB36" s="281"/>
      <c r="EC36" s="281"/>
      <c r="ED36" s="281"/>
      <c r="EE36" s="281"/>
      <c r="EF36" s="281"/>
      <c r="EG36" s="281"/>
      <c r="EH36" s="281"/>
      <c r="EI36" s="281"/>
      <c r="EJ36" s="281"/>
      <c r="EK36" s="281"/>
      <c r="EL36" s="281"/>
      <c r="EM36" s="281"/>
      <c r="EN36" s="281"/>
      <c r="EO36" s="281"/>
      <c r="EP36" s="281"/>
      <c r="EQ36" s="281"/>
      <c r="ER36" s="281"/>
      <c r="ES36" s="281"/>
      <c r="ET36" s="281"/>
      <c r="EU36" s="281"/>
      <c r="EV36" s="281"/>
      <c r="EW36" s="281"/>
      <c r="EX36" s="281"/>
      <c r="EY36" s="281"/>
      <c r="EZ36" s="281"/>
      <c r="FA36" s="281"/>
      <c r="FB36" s="281"/>
      <c r="FC36" s="281"/>
      <c r="FD36" s="281"/>
      <c r="FE36" s="281"/>
      <c r="FF36" s="281"/>
      <c r="FG36" s="281"/>
      <c r="FH36" s="281"/>
      <c r="FI36" s="281"/>
      <c r="FJ36" s="281"/>
      <c r="FK36" s="281"/>
      <c r="FL36" s="281"/>
      <c r="FM36" s="281"/>
      <c r="FN36" s="281"/>
      <c r="FO36" s="281"/>
      <c r="FP36" s="281"/>
      <c r="FQ36" s="281"/>
      <c r="FR36" s="281"/>
      <c r="FS36" s="281"/>
      <c r="FT36" s="281"/>
      <c r="FU36" s="281"/>
      <c r="FV36" s="281"/>
      <c r="FW36" s="281"/>
      <c r="FX36" s="281"/>
      <c r="FY36" s="281"/>
      <c r="FZ36" s="281"/>
      <c r="GA36" s="281"/>
      <c r="GB36" s="281"/>
      <c r="GC36" s="281"/>
      <c r="GD36" s="281"/>
      <c r="GE36" s="281"/>
      <c r="GF36" s="281"/>
      <c r="GG36" s="281"/>
      <c r="GH36" s="281"/>
      <c r="GI36" s="281"/>
      <c r="GJ36" s="281"/>
      <c r="GK36" s="281"/>
      <c r="GL36" s="281"/>
      <c r="GM36" s="281"/>
      <c r="GN36" s="281"/>
      <c r="GO36" s="281"/>
      <c r="GP36" s="281"/>
      <c r="GQ36" s="281"/>
      <c r="GR36" s="281"/>
      <c r="GS36" s="281"/>
      <c r="GT36" s="281"/>
      <c r="GU36" s="281"/>
      <c r="GV36" s="281"/>
      <c r="GW36" s="281"/>
      <c r="GX36" s="281"/>
      <c r="GY36" s="281"/>
      <c r="GZ36" s="281"/>
      <c r="HA36" s="281"/>
      <c r="HB36" s="281"/>
      <c r="HC36" s="281"/>
      <c r="HD36" s="281"/>
      <c r="HE36" s="281"/>
      <c r="HF36" s="281"/>
      <c r="HG36" s="281"/>
      <c r="HH36" s="281"/>
      <c r="HI36" s="281"/>
      <c r="HJ36" s="281"/>
      <c r="HK36" s="281"/>
      <c r="HL36" s="281"/>
      <c r="HM36" s="281"/>
      <c r="HN36" s="281"/>
      <c r="HO36" s="281"/>
      <c r="HP36" s="281"/>
      <c r="HQ36" s="281"/>
      <c r="HR36" s="281"/>
      <c r="HS36" s="281"/>
      <c r="HT36" s="281"/>
      <c r="HU36" s="281"/>
      <c r="HV36" s="281"/>
      <c r="HW36" s="281"/>
      <c r="HX36" s="281"/>
      <c r="HY36" s="281"/>
      <c r="HZ36" s="281"/>
      <c r="IA36" s="281"/>
      <c r="IB36" s="281"/>
      <c r="IC36" s="281"/>
      <c r="ID36" s="281"/>
      <c r="IE36" s="281"/>
      <c r="IF36" s="281"/>
      <c r="IG36" s="281"/>
      <c r="IH36" s="281"/>
      <c r="II36" s="281"/>
      <c r="IJ36" s="281"/>
      <c r="IK36" s="281"/>
      <c r="IL36" s="281"/>
      <c r="IM36" s="281"/>
      <c r="IN36" s="281"/>
      <c r="IO36" s="281"/>
      <c r="IP36" s="281"/>
      <c r="IQ36" s="281"/>
      <c r="IR36" s="281"/>
      <c r="IS36" s="281"/>
      <c r="IT36" s="281"/>
      <c r="IU36" s="282"/>
    </row>
    <row r="37" spans="1:255" ht="18" customHeight="1" x14ac:dyDescent="0.15">
      <c r="A37" s="6"/>
      <c r="B37" s="990" t="s">
        <v>268</v>
      </c>
      <c r="C37" s="1664">
        <f t="shared" ref="C37:L37" si="6">RANK(C17,$C$17:$L$17,0)</f>
        <v>7</v>
      </c>
      <c r="D37" s="951">
        <f t="shared" si="6"/>
        <v>2</v>
      </c>
      <c r="E37" s="1660">
        <f t="shared" si="6"/>
        <v>10</v>
      </c>
      <c r="F37" s="952">
        <f t="shared" si="6"/>
        <v>1</v>
      </c>
      <c r="G37" s="953">
        <f t="shared" si="6"/>
        <v>9</v>
      </c>
      <c r="H37" s="954">
        <f t="shared" si="6"/>
        <v>8</v>
      </c>
      <c r="I37" s="955">
        <f t="shared" si="6"/>
        <v>4</v>
      </c>
      <c r="J37" s="956">
        <f t="shared" si="6"/>
        <v>6</v>
      </c>
      <c r="K37" s="957">
        <f t="shared" si="6"/>
        <v>5</v>
      </c>
      <c r="L37" s="1020">
        <f t="shared" si="6"/>
        <v>3</v>
      </c>
      <c r="M37" s="992" t="s">
        <v>268</v>
      </c>
      <c r="N37" s="30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/>
      <c r="BZ37" s="281"/>
      <c r="CA37" s="281"/>
      <c r="CB37" s="281"/>
      <c r="CC37" s="281"/>
      <c r="CD37" s="281"/>
      <c r="CE37" s="281"/>
      <c r="CF37" s="281"/>
      <c r="CG37" s="281"/>
      <c r="CH37" s="281"/>
      <c r="CI37" s="281"/>
      <c r="CJ37" s="281"/>
      <c r="CK37" s="281"/>
      <c r="CL37" s="281"/>
      <c r="CM37" s="281"/>
      <c r="CN37" s="281"/>
      <c r="CO37" s="281"/>
      <c r="CP37" s="281"/>
      <c r="CQ37" s="281"/>
      <c r="CR37" s="281"/>
      <c r="CS37" s="281"/>
      <c r="CT37" s="281"/>
      <c r="CU37" s="281"/>
      <c r="CV37" s="281"/>
      <c r="CW37" s="281"/>
      <c r="CX37" s="281"/>
      <c r="CY37" s="281"/>
      <c r="CZ37" s="281"/>
      <c r="DA37" s="281"/>
      <c r="DB37" s="281"/>
      <c r="DC37" s="281"/>
      <c r="DD37" s="281"/>
      <c r="DE37" s="281"/>
      <c r="DF37" s="281"/>
      <c r="DG37" s="281"/>
      <c r="DH37" s="281"/>
      <c r="DI37" s="281"/>
      <c r="DJ37" s="281"/>
      <c r="DK37" s="281"/>
      <c r="DL37" s="281"/>
      <c r="DM37" s="281"/>
      <c r="DN37" s="281"/>
      <c r="DO37" s="281"/>
      <c r="DP37" s="281"/>
      <c r="DQ37" s="281"/>
      <c r="DR37" s="281"/>
      <c r="DS37" s="281"/>
      <c r="DT37" s="281"/>
      <c r="DU37" s="281"/>
      <c r="DV37" s="281"/>
      <c r="DW37" s="281"/>
      <c r="DX37" s="281"/>
      <c r="DY37" s="281"/>
      <c r="DZ37" s="281"/>
      <c r="EA37" s="281"/>
      <c r="EB37" s="281"/>
      <c r="EC37" s="281"/>
      <c r="ED37" s="281"/>
      <c r="EE37" s="281"/>
      <c r="EF37" s="281"/>
      <c r="EG37" s="281"/>
      <c r="EH37" s="281"/>
      <c r="EI37" s="281"/>
      <c r="EJ37" s="281"/>
      <c r="EK37" s="281"/>
      <c r="EL37" s="281"/>
      <c r="EM37" s="281"/>
      <c r="EN37" s="281"/>
      <c r="EO37" s="281"/>
      <c r="EP37" s="281"/>
      <c r="EQ37" s="281"/>
      <c r="ER37" s="281"/>
      <c r="ES37" s="281"/>
      <c r="ET37" s="281"/>
      <c r="EU37" s="281"/>
      <c r="EV37" s="281"/>
      <c r="EW37" s="281"/>
      <c r="EX37" s="281"/>
      <c r="EY37" s="281"/>
      <c r="EZ37" s="281"/>
      <c r="FA37" s="281"/>
      <c r="FB37" s="281"/>
      <c r="FC37" s="281"/>
      <c r="FD37" s="281"/>
      <c r="FE37" s="281"/>
      <c r="FF37" s="281"/>
      <c r="FG37" s="281"/>
      <c r="FH37" s="281"/>
      <c r="FI37" s="281"/>
      <c r="FJ37" s="281"/>
      <c r="FK37" s="281"/>
      <c r="FL37" s="281"/>
      <c r="FM37" s="281"/>
      <c r="FN37" s="281"/>
      <c r="FO37" s="281"/>
      <c r="FP37" s="281"/>
      <c r="FQ37" s="281"/>
      <c r="FR37" s="281"/>
      <c r="FS37" s="281"/>
      <c r="FT37" s="281"/>
      <c r="FU37" s="281"/>
      <c r="FV37" s="281"/>
      <c r="FW37" s="281"/>
      <c r="FX37" s="281"/>
      <c r="FY37" s="281"/>
      <c r="FZ37" s="281"/>
      <c r="GA37" s="281"/>
      <c r="GB37" s="281"/>
      <c r="GC37" s="281"/>
      <c r="GD37" s="281"/>
      <c r="GE37" s="281"/>
      <c r="GF37" s="281"/>
      <c r="GG37" s="281"/>
      <c r="GH37" s="281"/>
      <c r="GI37" s="281"/>
      <c r="GJ37" s="281"/>
      <c r="GK37" s="281"/>
      <c r="GL37" s="281"/>
      <c r="GM37" s="281"/>
      <c r="GN37" s="281"/>
      <c r="GO37" s="281"/>
      <c r="GP37" s="281"/>
      <c r="GQ37" s="281"/>
      <c r="GR37" s="281"/>
      <c r="GS37" s="281"/>
      <c r="GT37" s="281"/>
      <c r="GU37" s="281"/>
      <c r="GV37" s="281"/>
      <c r="GW37" s="281"/>
      <c r="GX37" s="281"/>
      <c r="GY37" s="281"/>
      <c r="GZ37" s="281"/>
      <c r="HA37" s="281"/>
      <c r="HB37" s="281"/>
      <c r="HC37" s="281"/>
      <c r="HD37" s="281"/>
      <c r="HE37" s="281"/>
      <c r="HF37" s="281"/>
      <c r="HG37" s="281"/>
      <c r="HH37" s="281"/>
      <c r="HI37" s="281"/>
      <c r="HJ37" s="281"/>
      <c r="HK37" s="281"/>
      <c r="HL37" s="281"/>
      <c r="HM37" s="281"/>
      <c r="HN37" s="281"/>
      <c r="HO37" s="281"/>
      <c r="HP37" s="281"/>
      <c r="HQ37" s="281"/>
      <c r="HR37" s="281"/>
      <c r="HS37" s="281"/>
      <c r="HT37" s="281"/>
      <c r="HU37" s="281"/>
      <c r="HV37" s="281"/>
      <c r="HW37" s="281"/>
      <c r="HX37" s="281"/>
      <c r="HY37" s="281"/>
      <c r="HZ37" s="281"/>
      <c r="IA37" s="281"/>
      <c r="IB37" s="281"/>
      <c r="IC37" s="281"/>
      <c r="ID37" s="281"/>
      <c r="IE37" s="281"/>
      <c r="IF37" s="281"/>
      <c r="IG37" s="281"/>
      <c r="IH37" s="281"/>
      <c r="II37" s="281"/>
      <c r="IJ37" s="281"/>
      <c r="IK37" s="281"/>
      <c r="IL37" s="281"/>
      <c r="IM37" s="281"/>
      <c r="IN37" s="281"/>
      <c r="IO37" s="281"/>
      <c r="IP37" s="281"/>
      <c r="IQ37" s="281"/>
      <c r="IR37" s="281"/>
      <c r="IS37" s="281"/>
      <c r="IT37" s="281"/>
      <c r="IU37" s="282"/>
    </row>
    <row r="38" spans="1:255" ht="33" customHeight="1" x14ac:dyDescent="0.15">
      <c r="A38" s="6"/>
      <c r="B38" s="301"/>
      <c r="C38" s="30" t="s">
        <v>9</v>
      </c>
      <c r="D38" s="31" t="s">
        <v>10</v>
      </c>
      <c r="E38" s="1487" t="s">
        <v>11</v>
      </c>
      <c r="F38" s="908" t="s">
        <v>23</v>
      </c>
      <c r="G38" s="34" t="s">
        <v>13</v>
      </c>
      <c r="H38" s="909" t="s">
        <v>14</v>
      </c>
      <c r="I38" s="815" t="s">
        <v>15</v>
      </c>
      <c r="J38" s="988" t="s">
        <v>16</v>
      </c>
      <c r="K38" s="38" t="s">
        <v>17</v>
      </c>
      <c r="L38" s="39" t="s">
        <v>18</v>
      </c>
      <c r="M38" s="989"/>
      <c r="N38" s="30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81"/>
      <c r="BX38" s="281"/>
      <c r="BY38" s="281"/>
      <c r="BZ38" s="281"/>
      <c r="CA38" s="281"/>
      <c r="CB38" s="281"/>
      <c r="CC38" s="281"/>
      <c r="CD38" s="281"/>
      <c r="CE38" s="281"/>
      <c r="CF38" s="281"/>
      <c r="CG38" s="281"/>
      <c r="CH38" s="281"/>
      <c r="CI38" s="281"/>
      <c r="CJ38" s="281"/>
      <c r="CK38" s="281"/>
      <c r="CL38" s="281"/>
      <c r="CM38" s="281"/>
      <c r="CN38" s="281"/>
      <c r="CO38" s="281"/>
      <c r="CP38" s="281"/>
      <c r="CQ38" s="281"/>
      <c r="CR38" s="281"/>
      <c r="CS38" s="281"/>
      <c r="CT38" s="281"/>
      <c r="CU38" s="281"/>
      <c r="CV38" s="281"/>
      <c r="CW38" s="281"/>
      <c r="CX38" s="281"/>
      <c r="CY38" s="281"/>
      <c r="CZ38" s="281"/>
      <c r="DA38" s="281"/>
      <c r="DB38" s="281"/>
      <c r="DC38" s="281"/>
      <c r="DD38" s="281"/>
      <c r="DE38" s="281"/>
      <c r="DF38" s="281"/>
      <c r="DG38" s="281"/>
      <c r="DH38" s="281"/>
      <c r="DI38" s="281"/>
      <c r="DJ38" s="281"/>
      <c r="DK38" s="281"/>
      <c r="DL38" s="281"/>
      <c r="DM38" s="281"/>
      <c r="DN38" s="281"/>
      <c r="DO38" s="281"/>
      <c r="DP38" s="281"/>
      <c r="DQ38" s="281"/>
      <c r="DR38" s="281"/>
      <c r="DS38" s="281"/>
      <c r="DT38" s="281"/>
      <c r="DU38" s="281"/>
      <c r="DV38" s="281"/>
      <c r="DW38" s="281"/>
      <c r="DX38" s="281"/>
      <c r="DY38" s="281"/>
      <c r="DZ38" s="281"/>
      <c r="EA38" s="281"/>
      <c r="EB38" s="281"/>
      <c r="EC38" s="281"/>
      <c r="ED38" s="281"/>
      <c r="EE38" s="281"/>
      <c r="EF38" s="281"/>
      <c r="EG38" s="281"/>
      <c r="EH38" s="281"/>
      <c r="EI38" s="281"/>
      <c r="EJ38" s="281"/>
      <c r="EK38" s="281"/>
      <c r="EL38" s="281"/>
      <c r="EM38" s="281"/>
      <c r="EN38" s="281"/>
      <c r="EO38" s="281"/>
      <c r="EP38" s="281"/>
      <c r="EQ38" s="281"/>
      <c r="ER38" s="281"/>
      <c r="ES38" s="281"/>
      <c r="ET38" s="281"/>
      <c r="EU38" s="281"/>
      <c r="EV38" s="281"/>
      <c r="EW38" s="281"/>
      <c r="EX38" s="281"/>
      <c r="EY38" s="281"/>
      <c r="EZ38" s="281"/>
      <c r="FA38" s="281"/>
      <c r="FB38" s="281"/>
      <c r="FC38" s="281"/>
      <c r="FD38" s="281"/>
      <c r="FE38" s="281"/>
      <c r="FF38" s="281"/>
      <c r="FG38" s="281"/>
      <c r="FH38" s="281"/>
      <c r="FI38" s="281"/>
      <c r="FJ38" s="281"/>
      <c r="FK38" s="281"/>
      <c r="FL38" s="281"/>
      <c r="FM38" s="281"/>
      <c r="FN38" s="281"/>
      <c r="FO38" s="281"/>
      <c r="FP38" s="281"/>
      <c r="FQ38" s="281"/>
      <c r="FR38" s="281"/>
      <c r="FS38" s="281"/>
      <c r="FT38" s="281"/>
      <c r="FU38" s="281"/>
      <c r="FV38" s="281"/>
      <c r="FW38" s="281"/>
      <c r="FX38" s="281"/>
      <c r="FY38" s="281"/>
      <c r="FZ38" s="281"/>
      <c r="GA38" s="281"/>
      <c r="GB38" s="281"/>
      <c r="GC38" s="281"/>
      <c r="GD38" s="281"/>
      <c r="GE38" s="281"/>
      <c r="GF38" s="281"/>
      <c r="GG38" s="281"/>
      <c r="GH38" s="281"/>
      <c r="GI38" s="281"/>
      <c r="GJ38" s="281"/>
      <c r="GK38" s="281"/>
      <c r="GL38" s="281"/>
      <c r="GM38" s="281"/>
      <c r="GN38" s="281"/>
      <c r="GO38" s="281"/>
      <c r="GP38" s="281"/>
      <c r="GQ38" s="281"/>
      <c r="GR38" s="281"/>
      <c r="GS38" s="281"/>
      <c r="GT38" s="281"/>
      <c r="GU38" s="281"/>
      <c r="GV38" s="281"/>
      <c r="GW38" s="281"/>
      <c r="GX38" s="281"/>
      <c r="GY38" s="281"/>
      <c r="GZ38" s="281"/>
      <c r="HA38" s="281"/>
      <c r="HB38" s="281"/>
      <c r="HC38" s="281"/>
      <c r="HD38" s="281"/>
      <c r="HE38" s="281"/>
      <c r="HF38" s="281"/>
      <c r="HG38" s="281"/>
      <c r="HH38" s="281"/>
      <c r="HI38" s="281"/>
      <c r="HJ38" s="281"/>
      <c r="HK38" s="281"/>
      <c r="HL38" s="281"/>
      <c r="HM38" s="281"/>
      <c r="HN38" s="281"/>
      <c r="HO38" s="281"/>
      <c r="HP38" s="281"/>
      <c r="HQ38" s="281"/>
      <c r="HR38" s="281"/>
      <c r="HS38" s="281"/>
      <c r="HT38" s="281"/>
      <c r="HU38" s="281"/>
      <c r="HV38" s="281"/>
      <c r="HW38" s="281"/>
      <c r="HX38" s="281"/>
      <c r="HY38" s="281"/>
      <c r="HZ38" s="281"/>
      <c r="IA38" s="281"/>
      <c r="IB38" s="281"/>
      <c r="IC38" s="281"/>
      <c r="ID38" s="281"/>
      <c r="IE38" s="281"/>
      <c r="IF38" s="281"/>
      <c r="IG38" s="281"/>
      <c r="IH38" s="281"/>
      <c r="II38" s="281"/>
      <c r="IJ38" s="281"/>
      <c r="IK38" s="281"/>
      <c r="IL38" s="281"/>
      <c r="IM38" s="281"/>
      <c r="IN38" s="281"/>
      <c r="IO38" s="281"/>
      <c r="IP38" s="281"/>
      <c r="IQ38" s="281"/>
      <c r="IR38" s="281"/>
      <c r="IS38" s="281"/>
      <c r="IT38" s="281"/>
      <c r="IU38" s="282"/>
    </row>
    <row r="39" spans="1:255" s="1615" customFormat="1" ht="13" customHeight="1" x14ac:dyDescent="0.15">
      <c r="A39" s="6"/>
      <c r="B39" s="2853" t="s">
        <v>294</v>
      </c>
      <c r="C39" s="2854"/>
      <c r="D39" s="2854"/>
      <c r="E39" s="2854"/>
      <c r="F39" s="2854"/>
      <c r="G39" s="2854"/>
      <c r="H39" s="2854"/>
      <c r="I39" s="2854"/>
      <c r="J39" s="2854"/>
      <c r="K39" s="2854"/>
      <c r="L39" s="2854"/>
      <c r="M39" s="2854"/>
      <c r="N39" s="30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1"/>
      <c r="CC39" s="281"/>
      <c r="CD39" s="281"/>
      <c r="CE39" s="281"/>
      <c r="CF39" s="281"/>
      <c r="CG39" s="281"/>
      <c r="CH39" s="281"/>
      <c r="CI39" s="281"/>
      <c r="CJ39" s="281"/>
      <c r="CK39" s="281"/>
      <c r="CL39" s="281"/>
      <c r="CM39" s="281"/>
      <c r="CN39" s="281"/>
      <c r="CO39" s="281"/>
      <c r="CP39" s="281"/>
      <c r="CQ39" s="281"/>
      <c r="CR39" s="281"/>
      <c r="CS39" s="281"/>
      <c r="CT39" s="281"/>
      <c r="CU39" s="281"/>
      <c r="CV39" s="281"/>
      <c r="CW39" s="281"/>
      <c r="CX39" s="281"/>
      <c r="CY39" s="281"/>
      <c r="CZ39" s="281"/>
      <c r="DA39" s="281"/>
      <c r="DB39" s="281"/>
      <c r="DC39" s="281"/>
      <c r="DD39" s="281"/>
      <c r="DE39" s="281"/>
      <c r="DF39" s="281"/>
      <c r="DG39" s="281"/>
      <c r="DH39" s="281"/>
      <c r="DI39" s="281"/>
      <c r="DJ39" s="281"/>
      <c r="DK39" s="281"/>
      <c r="DL39" s="281"/>
      <c r="DM39" s="281"/>
      <c r="DN39" s="281"/>
      <c r="DO39" s="281"/>
      <c r="DP39" s="281"/>
      <c r="DQ39" s="281"/>
      <c r="DR39" s="281"/>
      <c r="DS39" s="281"/>
      <c r="DT39" s="281"/>
      <c r="DU39" s="281"/>
      <c r="DV39" s="281"/>
      <c r="DW39" s="281"/>
      <c r="DX39" s="281"/>
      <c r="DY39" s="281"/>
      <c r="DZ39" s="281"/>
      <c r="EA39" s="281"/>
      <c r="EB39" s="281"/>
      <c r="EC39" s="281"/>
      <c r="ED39" s="281"/>
      <c r="EE39" s="281"/>
      <c r="EF39" s="281"/>
      <c r="EG39" s="281"/>
      <c r="EH39" s="281"/>
      <c r="EI39" s="281"/>
      <c r="EJ39" s="281"/>
      <c r="EK39" s="281"/>
      <c r="EL39" s="281"/>
      <c r="EM39" s="281"/>
      <c r="EN39" s="281"/>
      <c r="EO39" s="281"/>
      <c r="EP39" s="281"/>
      <c r="EQ39" s="281"/>
      <c r="ER39" s="281"/>
      <c r="ES39" s="281"/>
      <c r="ET39" s="281"/>
      <c r="EU39" s="281"/>
      <c r="EV39" s="281"/>
      <c r="EW39" s="281"/>
      <c r="EX39" s="281"/>
      <c r="EY39" s="281"/>
      <c r="EZ39" s="281"/>
      <c r="FA39" s="281"/>
      <c r="FB39" s="281"/>
      <c r="FC39" s="281"/>
      <c r="FD39" s="281"/>
      <c r="FE39" s="281"/>
      <c r="FF39" s="281"/>
      <c r="FG39" s="281"/>
      <c r="FH39" s="281"/>
      <c r="FI39" s="281"/>
      <c r="FJ39" s="281"/>
      <c r="FK39" s="281"/>
      <c r="FL39" s="281"/>
      <c r="FM39" s="281"/>
      <c r="FN39" s="281"/>
      <c r="FO39" s="281"/>
      <c r="FP39" s="281"/>
      <c r="FQ39" s="281"/>
      <c r="FR39" s="281"/>
      <c r="FS39" s="281"/>
      <c r="FT39" s="281"/>
      <c r="FU39" s="281"/>
      <c r="FV39" s="281"/>
      <c r="FW39" s="281"/>
      <c r="FX39" s="281"/>
      <c r="FY39" s="281"/>
      <c r="FZ39" s="281"/>
      <c r="GA39" s="281"/>
      <c r="GB39" s="281"/>
      <c r="GC39" s="281"/>
      <c r="GD39" s="281"/>
      <c r="GE39" s="281"/>
      <c r="GF39" s="281"/>
      <c r="GG39" s="281"/>
      <c r="GH39" s="281"/>
      <c r="GI39" s="281"/>
      <c r="GJ39" s="281"/>
      <c r="GK39" s="281"/>
      <c r="GL39" s="281"/>
      <c r="GM39" s="281"/>
      <c r="GN39" s="281"/>
      <c r="GO39" s="281"/>
      <c r="GP39" s="281"/>
      <c r="GQ39" s="281"/>
      <c r="GR39" s="281"/>
      <c r="GS39" s="281"/>
      <c r="GT39" s="281"/>
      <c r="GU39" s="281"/>
      <c r="GV39" s="281"/>
      <c r="GW39" s="281"/>
      <c r="GX39" s="281"/>
      <c r="GY39" s="281"/>
      <c r="GZ39" s="281"/>
      <c r="HA39" s="281"/>
      <c r="HB39" s="281"/>
      <c r="HC39" s="281"/>
      <c r="HD39" s="281"/>
      <c r="HE39" s="281"/>
      <c r="HF39" s="281"/>
      <c r="HG39" s="281"/>
      <c r="HH39" s="281"/>
      <c r="HI39" s="281"/>
      <c r="HJ39" s="281"/>
      <c r="HK39" s="281"/>
      <c r="HL39" s="281"/>
      <c r="HM39" s="281"/>
      <c r="HN39" s="281"/>
      <c r="HO39" s="281"/>
      <c r="HP39" s="281"/>
      <c r="HQ39" s="281"/>
      <c r="HR39" s="281"/>
      <c r="HS39" s="281"/>
      <c r="HT39" s="281"/>
      <c r="HU39" s="281"/>
      <c r="HV39" s="281"/>
      <c r="HW39" s="281"/>
      <c r="HX39" s="281"/>
      <c r="HY39" s="281"/>
      <c r="HZ39" s="281"/>
      <c r="IA39" s="281"/>
      <c r="IB39" s="281"/>
      <c r="IC39" s="281"/>
      <c r="ID39" s="281"/>
      <c r="IE39" s="281"/>
      <c r="IF39" s="281"/>
      <c r="IG39" s="281"/>
      <c r="IH39" s="281"/>
      <c r="II39" s="281"/>
      <c r="IJ39" s="281"/>
      <c r="IK39" s="281"/>
      <c r="IL39" s="281"/>
      <c r="IM39" s="281"/>
      <c r="IN39" s="281"/>
      <c r="IO39" s="281"/>
      <c r="IP39" s="281"/>
      <c r="IQ39" s="281"/>
      <c r="IR39" s="281"/>
      <c r="IS39" s="281"/>
      <c r="IT39" s="281"/>
      <c r="IU39" s="282"/>
    </row>
    <row r="40" spans="1:255" s="1615" customFormat="1" ht="13" customHeight="1" x14ac:dyDescent="0.15">
      <c r="A40" s="1194"/>
      <c r="B40" s="1194"/>
      <c r="C40" s="1194"/>
      <c r="D40" s="1194"/>
      <c r="E40" s="1194"/>
      <c r="F40" s="1194"/>
      <c r="G40" s="1194"/>
      <c r="H40" s="1194"/>
      <c r="I40" s="1194"/>
      <c r="J40" s="1194"/>
      <c r="K40" s="1194"/>
      <c r="L40" s="1194"/>
      <c r="M40" s="1194"/>
      <c r="N40" s="1194"/>
      <c r="O40" s="1194"/>
      <c r="P40" s="1194"/>
      <c r="Q40" s="1194"/>
      <c r="R40" s="1194"/>
      <c r="S40" s="1194"/>
      <c r="T40" s="1194"/>
      <c r="U40" s="1194"/>
      <c r="V40" s="1194"/>
      <c r="W40" s="1194"/>
      <c r="X40" s="1194"/>
      <c r="Y40" s="1194"/>
      <c r="Z40" s="1194"/>
      <c r="AA40" s="1194"/>
      <c r="AB40" s="1194"/>
      <c r="AC40" s="1194"/>
      <c r="AD40" s="1194"/>
      <c r="AE40" s="1194"/>
      <c r="AF40" s="1194"/>
      <c r="AG40" s="1194"/>
      <c r="AH40" s="1194"/>
      <c r="AI40" s="1194"/>
      <c r="AJ40" s="1194"/>
      <c r="AK40" s="1194"/>
      <c r="AL40" s="1194"/>
      <c r="AM40" s="1194"/>
      <c r="AN40" s="1194"/>
      <c r="AO40" s="1194"/>
      <c r="AP40" s="1194"/>
      <c r="AQ40" s="1194"/>
      <c r="AR40" s="1194"/>
      <c r="AS40" s="1194"/>
      <c r="AT40" s="1194"/>
      <c r="AU40" s="1194"/>
      <c r="AV40" s="1194"/>
      <c r="AW40" s="1194"/>
      <c r="AX40" s="1194"/>
      <c r="AY40" s="1194"/>
      <c r="AZ40" s="1194"/>
      <c r="BA40" s="1194"/>
      <c r="BB40" s="1194"/>
      <c r="BC40" s="1194"/>
      <c r="BD40" s="1194"/>
      <c r="BE40" s="1194"/>
      <c r="BF40" s="1194"/>
      <c r="BG40" s="1194"/>
      <c r="BH40" s="1194"/>
      <c r="BI40" s="1194"/>
      <c r="BJ40" s="1194"/>
      <c r="BK40" s="1194"/>
      <c r="BL40" s="1194"/>
      <c r="BM40" s="1194"/>
      <c r="BN40" s="1194"/>
      <c r="BO40" s="1194"/>
      <c r="BP40" s="1194"/>
      <c r="BQ40" s="1194"/>
      <c r="BR40" s="1194"/>
      <c r="BS40" s="1194"/>
      <c r="BT40" s="1194"/>
      <c r="BU40" s="1194"/>
      <c r="BV40" s="1194"/>
      <c r="BW40" s="1194"/>
      <c r="BX40" s="1194"/>
      <c r="BY40" s="1194"/>
      <c r="BZ40" s="1194"/>
      <c r="CA40" s="1194"/>
      <c r="CB40" s="1194"/>
      <c r="CC40" s="1194"/>
      <c r="CD40" s="1194"/>
      <c r="CE40" s="1194"/>
      <c r="CF40" s="1194"/>
      <c r="CG40" s="1194"/>
      <c r="CH40" s="1194"/>
      <c r="CI40" s="1194"/>
      <c r="CJ40" s="1194"/>
      <c r="CK40" s="1194"/>
      <c r="CL40" s="1194"/>
      <c r="CM40" s="1194"/>
      <c r="CN40" s="1194"/>
      <c r="CO40" s="1194"/>
      <c r="CP40" s="1194"/>
      <c r="CQ40" s="1194"/>
      <c r="CR40" s="1194"/>
      <c r="CS40" s="1194"/>
      <c r="CT40" s="1194"/>
      <c r="CU40" s="1194"/>
      <c r="CV40" s="1194"/>
      <c r="CW40" s="1194"/>
      <c r="CX40" s="1194"/>
      <c r="CY40" s="1194"/>
      <c r="CZ40" s="1194"/>
      <c r="DA40" s="1194"/>
      <c r="DB40" s="1194"/>
      <c r="DC40" s="1194"/>
      <c r="DD40" s="1194"/>
      <c r="DE40" s="1194"/>
      <c r="DF40" s="1194"/>
      <c r="DG40" s="1194"/>
      <c r="DH40" s="1194"/>
      <c r="DI40" s="1194"/>
      <c r="DJ40" s="1194"/>
      <c r="DK40" s="1194"/>
      <c r="DL40" s="1194"/>
      <c r="DM40" s="1194"/>
      <c r="DN40" s="1194"/>
      <c r="DO40" s="1194"/>
      <c r="DP40" s="1194"/>
      <c r="DQ40" s="1194"/>
      <c r="DR40" s="1194"/>
      <c r="DS40" s="1194"/>
      <c r="DT40" s="1194"/>
      <c r="DU40" s="1194"/>
      <c r="DV40" s="1194"/>
      <c r="DW40" s="1194"/>
      <c r="DX40" s="1194"/>
      <c r="DY40" s="1194"/>
      <c r="DZ40" s="1194"/>
      <c r="EA40" s="1194"/>
      <c r="EB40" s="1194"/>
      <c r="EC40" s="1194"/>
      <c r="ED40" s="1194"/>
      <c r="EE40" s="1194"/>
      <c r="EF40" s="1194"/>
      <c r="EG40" s="1194"/>
      <c r="EH40" s="1194"/>
      <c r="EI40" s="1194"/>
      <c r="EJ40" s="1194"/>
      <c r="EK40" s="1194"/>
      <c r="EL40" s="1194"/>
      <c r="EM40" s="1194"/>
      <c r="EN40" s="1194"/>
      <c r="EO40" s="1194"/>
      <c r="EP40" s="1194"/>
      <c r="EQ40" s="1194"/>
      <c r="ER40" s="1194"/>
      <c r="ES40" s="1194"/>
      <c r="ET40" s="1194"/>
      <c r="EU40" s="1194"/>
      <c r="EV40" s="1194"/>
      <c r="EW40" s="1194"/>
      <c r="EX40" s="1194"/>
      <c r="EY40" s="1194"/>
      <c r="EZ40" s="1194"/>
      <c r="FA40" s="1194"/>
      <c r="FB40" s="1194"/>
      <c r="FC40" s="1194"/>
      <c r="FD40" s="1194"/>
      <c r="FE40" s="1194"/>
      <c r="FF40" s="1194"/>
      <c r="FG40" s="1194"/>
      <c r="FH40" s="1194"/>
      <c r="FI40" s="1194"/>
      <c r="FJ40" s="1194"/>
      <c r="FK40" s="1194"/>
      <c r="FL40" s="1194"/>
      <c r="FM40" s="1194"/>
      <c r="FN40" s="1194"/>
      <c r="FO40" s="1194"/>
      <c r="FP40" s="1194"/>
      <c r="FQ40" s="1194"/>
      <c r="FR40" s="1194"/>
      <c r="FS40" s="1194"/>
      <c r="FT40" s="1194"/>
      <c r="FU40" s="1194"/>
      <c r="FV40" s="1194"/>
      <c r="FW40" s="1194"/>
      <c r="FX40" s="1194"/>
      <c r="FY40" s="1194"/>
      <c r="FZ40" s="1194"/>
      <c r="GA40" s="1194"/>
      <c r="GB40" s="1194"/>
      <c r="GC40" s="1194"/>
      <c r="GD40" s="1194"/>
      <c r="GE40" s="1194"/>
      <c r="GF40" s="1194"/>
      <c r="GG40" s="1194"/>
      <c r="GH40" s="1194"/>
      <c r="GI40" s="1194"/>
      <c r="GJ40" s="1194"/>
      <c r="GK40" s="1194"/>
      <c r="GL40" s="1194"/>
      <c r="GM40" s="1194"/>
      <c r="GN40" s="1194"/>
      <c r="GO40" s="1194"/>
      <c r="GP40" s="1194"/>
      <c r="GQ40" s="1194"/>
      <c r="GR40" s="1194"/>
      <c r="GS40" s="1194"/>
      <c r="GT40" s="1194"/>
      <c r="GU40" s="1194"/>
      <c r="GV40" s="1194"/>
      <c r="GW40" s="1194"/>
      <c r="GX40" s="1194"/>
      <c r="GY40" s="1194"/>
      <c r="GZ40" s="1194"/>
      <c r="HA40" s="1194"/>
      <c r="HB40" s="1194"/>
      <c r="HC40" s="1194"/>
      <c r="HD40" s="1194"/>
      <c r="HE40" s="1194"/>
      <c r="HF40" s="1194"/>
      <c r="HG40" s="1194"/>
      <c r="HH40" s="1194"/>
      <c r="HI40" s="1194"/>
      <c r="HJ40" s="1194"/>
      <c r="HK40" s="1194"/>
      <c r="HL40" s="1194"/>
      <c r="HM40" s="1194"/>
      <c r="HN40" s="1194"/>
      <c r="HO40" s="1194"/>
      <c r="HP40" s="1194"/>
      <c r="HQ40" s="1194"/>
      <c r="HR40" s="1194"/>
      <c r="HS40" s="1194"/>
      <c r="HT40" s="1194"/>
      <c r="HU40" s="1194"/>
      <c r="HV40" s="1194"/>
      <c r="HW40" s="1194"/>
      <c r="HX40" s="1194"/>
      <c r="HY40" s="1194"/>
      <c r="HZ40" s="1194"/>
      <c r="IA40" s="1194"/>
      <c r="IB40" s="1194"/>
      <c r="IC40" s="1194"/>
      <c r="ID40" s="1194"/>
      <c r="IE40" s="1194"/>
      <c r="IF40" s="1194"/>
      <c r="IG40" s="1194"/>
      <c r="IH40" s="1194"/>
      <c r="II40" s="1194"/>
      <c r="IJ40" s="1194"/>
      <c r="IK40" s="1194"/>
      <c r="IL40" s="1194"/>
      <c r="IM40" s="1194"/>
      <c r="IN40" s="1194"/>
      <c r="IO40" s="1194"/>
      <c r="IP40" s="1194"/>
      <c r="IQ40" s="1194"/>
      <c r="IR40" s="1194"/>
      <c r="IS40" s="1194"/>
      <c r="IT40" s="1194"/>
      <c r="IU40" s="1194"/>
    </row>
  </sheetData>
  <mergeCells count="3">
    <mergeCell ref="B32:M32"/>
    <mergeCell ref="B39:M39"/>
    <mergeCell ref="B1:M1"/>
  </mergeCells>
  <pageMargins left="0.74791700000000005" right="0.74791700000000005" top="0.98402800000000001" bottom="0.98402800000000001" header="0.51180599999999998" footer="0.51180599999999998"/>
  <pageSetup orientation="portrait"/>
  <headerFooter>
    <oddFooter>&amp;C&amp;"Helvetica Neue,Regular"&amp;12&amp;K000000&amp;P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"/>
  <sheetViews>
    <sheetView showGridLines="0" topLeftCell="A10" zoomScale="160" zoomScaleNormal="160" workbookViewId="0">
      <selection activeCell="M42" sqref="M42"/>
    </sheetView>
  </sheetViews>
  <sheetFormatPr baseColWidth="10" defaultColWidth="8.83203125" defaultRowHeight="13" customHeight="1" x14ac:dyDescent="0.15"/>
  <cols>
    <col min="1" max="1" width="3.1640625" style="1047" customWidth="1"/>
    <col min="2" max="2" width="7.83203125" style="1047" bestFit="1" customWidth="1"/>
    <col min="3" max="3" width="5.6640625" style="1047" bestFit="1" customWidth="1"/>
    <col min="4" max="4" width="4.33203125" style="1047" bestFit="1" customWidth="1"/>
    <col min="5" max="5" width="8.1640625" style="1047" bestFit="1" customWidth="1"/>
    <col min="6" max="6" width="4.33203125" style="1047" bestFit="1" customWidth="1"/>
    <col min="7" max="7" width="5.6640625" style="1047" bestFit="1" customWidth="1"/>
    <col min="8" max="8" width="8.5" style="1047" customWidth="1"/>
    <col min="9" max="9" width="8.5" style="1047" bestFit="1" customWidth="1"/>
    <col min="10" max="10" width="4.6640625" style="1047" bestFit="1" customWidth="1"/>
    <col min="11" max="11" width="6.1640625" style="1047" bestFit="1" customWidth="1"/>
    <col min="12" max="12" width="7.1640625" style="1047" bestFit="1" customWidth="1"/>
    <col min="13" max="13" width="8.5" style="1047" bestFit="1" customWidth="1"/>
    <col min="14" max="14" width="6.1640625" style="1047" bestFit="1" customWidth="1"/>
    <col min="15" max="15" width="5.83203125" style="1047" bestFit="1" customWidth="1"/>
    <col min="16" max="16" width="4.33203125" style="1047" bestFit="1" customWidth="1"/>
    <col min="17" max="20" width="4.33203125" style="1047" customWidth="1"/>
    <col min="21" max="21" width="4.1640625" style="1047" customWidth="1"/>
    <col min="22" max="22" width="1.33203125" style="1047" customWidth="1"/>
    <col min="23" max="23" width="5.83203125" style="1047" bestFit="1" customWidth="1"/>
    <col min="24" max="24" width="7.5" style="1047" bestFit="1" customWidth="1"/>
    <col min="25" max="25" width="5.83203125" style="1047" bestFit="1" customWidth="1"/>
    <col min="26" max="26" width="5" style="1047" customWidth="1"/>
    <col min="27" max="27" width="7.33203125" style="1047" customWidth="1"/>
    <col min="28" max="28" width="2.1640625" style="1047" customWidth="1"/>
    <col min="29" max="29" width="5.83203125" style="1047" customWidth="1"/>
    <col min="30" max="30" width="5" style="1047" customWidth="1"/>
    <col min="31" max="31" width="1.33203125" style="1047" customWidth="1"/>
    <col min="32" max="32" width="9.5" style="1047" customWidth="1"/>
    <col min="33" max="33" width="5.6640625" style="1047" customWidth="1"/>
    <col min="34" max="36" width="4.83203125" style="1047" customWidth="1"/>
    <col min="37" max="37" width="10.83203125" style="1047" customWidth="1"/>
    <col min="38" max="38" width="11" style="1047" customWidth="1"/>
    <col min="39" max="256" width="8.83203125" customWidth="1"/>
  </cols>
  <sheetData>
    <row r="1" spans="1:38" ht="13" customHeight="1" x14ac:dyDescent="0.1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1048"/>
      <c r="Q1" s="1048"/>
      <c r="R1" s="1048"/>
      <c r="S1" s="1048"/>
      <c r="T1" s="1049"/>
      <c r="U1" s="4"/>
      <c r="V1" s="3"/>
      <c r="W1" s="3"/>
      <c r="X1" s="3"/>
      <c r="Y1" s="3"/>
      <c r="Z1" s="27"/>
      <c r="AA1" s="4"/>
      <c r="AB1" s="4"/>
      <c r="AC1" s="4"/>
      <c r="AD1" s="4"/>
      <c r="AE1" s="4"/>
      <c r="AF1" s="4"/>
      <c r="AG1" s="4"/>
      <c r="AH1" s="4"/>
      <c r="AI1" s="4"/>
      <c r="AJ1" s="4"/>
      <c r="AK1" s="27"/>
      <c r="AL1" s="5"/>
    </row>
    <row r="2" spans="1:38" ht="21" customHeight="1" x14ac:dyDescent="0.15">
      <c r="A2" s="6"/>
      <c r="B2" s="2904" t="s">
        <v>307</v>
      </c>
      <c r="C2" s="2891" t="s">
        <v>436</v>
      </c>
      <c r="D2" s="2892"/>
      <c r="E2" s="2892"/>
      <c r="F2" s="2891" t="s">
        <v>385</v>
      </c>
      <c r="G2" s="2892"/>
      <c r="H2" s="2892"/>
      <c r="I2" s="2891" t="s">
        <v>438</v>
      </c>
      <c r="J2" s="2892"/>
      <c r="K2" s="2892"/>
      <c r="L2" s="2891" t="s">
        <v>437</v>
      </c>
      <c r="M2" s="2892"/>
      <c r="N2" s="2893"/>
      <c r="O2" s="1050"/>
      <c r="P2" s="1901" t="s">
        <v>319</v>
      </c>
      <c r="Q2" s="1902" t="s">
        <v>44</v>
      </c>
      <c r="R2" s="1902" t="s">
        <v>42</v>
      </c>
      <c r="S2" s="1902" t="s">
        <v>40</v>
      </c>
      <c r="T2" s="1903" t="s">
        <v>38</v>
      </c>
      <c r="U2" s="1051"/>
      <c r="V2" s="1052"/>
      <c r="W2" s="1053" t="s">
        <v>308</v>
      </c>
      <c r="X2" s="1053" t="s">
        <v>309</v>
      </c>
      <c r="Y2" s="1054" t="s">
        <v>310</v>
      </c>
      <c r="Z2" s="222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40"/>
      <c r="AL2" s="8"/>
    </row>
    <row r="3" spans="1:38" ht="21" customHeight="1" x14ac:dyDescent="0.15">
      <c r="A3" s="6"/>
      <c r="B3" s="2905"/>
      <c r="C3" s="1055" t="s">
        <v>193</v>
      </c>
      <c r="D3" s="1055" t="s">
        <v>194</v>
      </c>
      <c r="E3" s="1055" t="s">
        <v>195</v>
      </c>
      <c r="F3" s="1055" t="s">
        <v>199</v>
      </c>
      <c r="G3" s="1055" t="s">
        <v>104</v>
      </c>
      <c r="H3" s="1055" t="s">
        <v>74</v>
      </c>
      <c r="I3" s="1055" t="s">
        <v>200</v>
      </c>
      <c r="J3" s="1055" t="s">
        <v>201</v>
      </c>
      <c r="K3" s="1055" t="s">
        <v>38</v>
      </c>
      <c r="L3" s="1055" t="s">
        <v>208</v>
      </c>
      <c r="M3" s="1055" t="s">
        <v>209</v>
      </c>
      <c r="N3" s="1056" t="s">
        <v>12</v>
      </c>
      <c r="O3" s="1897"/>
      <c r="P3" s="2097" t="s">
        <v>10</v>
      </c>
      <c r="Q3" s="2101">
        <v>2.2000000000000002</v>
      </c>
      <c r="R3" s="2101">
        <v>5.2</v>
      </c>
      <c r="S3" s="2101">
        <v>4.2</v>
      </c>
      <c r="T3" s="2101">
        <v>5</v>
      </c>
      <c r="U3" s="19"/>
      <c r="V3" s="7"/>
      <c r="W3" s="1057" t="s">
        <v>193</v>
      </c>
      <c r="X3" s="1057" t="s">
        <v>194</v>
      </c>
      <c r="Y3" s="1058" t="s">
        <v>195</v>
      </c>
      <c r="Z3" s="222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40"/>
      <c r="AL3" s="8"/>
    </row>
    <row r="4" spans="1:38" ht="25" customHeight="1" x14ac:dyDescent="0.15">
      <c r="A4" s="6"/>
      <c r="B4" s="2906"/>
      <c r="C4" s="2097" t="s">
        <v>10</v>
      </c>
      <c r="D4" s="1059"/>
      <c r="E4" s="672" t="s">
        <v>16</v>
      </c>
      <c r="F4" s="1060"/>
      <c r="G4" s="620" t="s">
        <v>425</v>
      </c>
      <c r="H4" s="1783"/>
      <c r="I4" s="2098" t="s">
        <v>17</v>
      </c>
      <c r="J4" s="2377" t="s">
        <v>13</v>
      </c>
      <c r="K4" s="606" t="s">
        <v>14</v>
      </c>
      <c r="L4" s="2381" t="s">
        <v>427</v>
      </c>
      <c r="M4" s="659" t="s">
        <v>11</v>
      </c>
      <c r="N4" s="647"/>
      <c r="O4" s="1898"/>
      <c r="P4" s="620" t="s">
        <v>18</v>
      </c>
      <c r="Q4" s="621">
        <v>6</v>
      </c>
      <c r="R4" s="621">
        <v>3.2</v>
      </c>
      <c r="S4" s="621">
        <v>3.8</v>
      </c>
      <c r="T4" s="621">
        <v>3.6</v>
      </c>
      <c r="U4" s="19"/>
      <c r="V4" s="7"/>
      <c r="W4" s="1057" t="s">
        <v>199</v>
      </c>
      <c r="X4" s="1057" t="s">
        <v>104</v>
      </c>
      <c r="Y4" s="1058" t="s">
        <v>74</v>
      </c>
      <c r="Z4" s="222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40"/>
      <c r="AL4" s="8"/>
    </row>
    <row r="5" spans="1:38" ht="17" customHeight="1" x14ac:dyDescent="0.15">
      <c r="A5" s="6"/>
      <c r="B5" s="1061" t="s">
        <v>172</v>
      </c>
      <c r="C5" s="2890" t="s">
        <v>442</v>
      </c>
      <c r="D5" s="2890"/>
      <c r="E5" s="2890"/>
      <c r="F5" s="2870" t="s">
        <v>181</v>
      </c>
      <c r="G5" s="2870"/>
      <c r="H5" s="2870"/>
      <c r="I5" s="2870" t="s">
        <v>428</v>
      </c>
      <c r="J5" s="2870"/>
      <c r="K5" s="2870"/>
      <c r="L5" s="2870" t="s">
        <v>40</v>
      </c>
      <c r="M5" s="2870"/>
      <c r="N5" s="2871"/>
      <c r="O5" s="1084"/>
      <c r="P5" s="672" t="s">
        <v>16</v>
      </c>
      <c r="Q5" s="673">
        <v>5.6</v>
      </c>
      <c r="R5" s="673">
        <v>3.2</v>
      </c>
      <c r="S5" s="673">
        <v>4.2</v>
      </c>
      <c r="T5" s="673">
        <v>3.8</v>
      </c>
      <c r="U5" s="19"/>
      <c r="V5" s="7"/>
      <c r="W5" s="1057" t="s">
        <v>200</v>
      </c>
      <c r="X5" s="1057" t="s">
        <v>201</v>
      </c>
      <c r="Y5" s="1058" t="s">
        <v>38</v>
      </c>
      <c r="Z5" s="222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40"/>
      <c r="AL5" s="8"/>
    </row>
    <row r="6" spans="1:38" ht="17" customHeight="1" x14ac:dyDescent="0.15">
      <c r="A6" s="6"/>
      <c r="B6" s="1062" t="s">
        <v>246</v>
      </c>
      <c r="C6" s="2897">
        <f>(T3+T5)/2</f>
        <v>4.4000000000000004</v>
      </c>
      <c r="D6" s="2897"/>
      <c r="E6" s="2897"/>
      <c r="F6" s="2897">
        <f>(T4+T8)/2</f>
        <v>3.8</v>
      </c>
      <c r="G6" s="2897"/>
      <c r="H6" s="2897"/>
      <c r="I6" s="2897">
        <f>(T12+T9+T10)/3</f>
        <v>6.7333333333333343</v>
      </c>
      <c r="J6" s="2897"/>
      <c r="K6" s="2897"/>
      <c r="L6" s="2897">
        <f>(T7+T11+T6)/3</f>
        <v>6.1333333333333329</v>
      </c>
      <c r="M6" s="2897"/>
      <c r="N6" s="2898"/>
      <c r="O6" s="1084"/>
      <c r="P6" s="659" t="s">
        <v>11</v>
      </c>
      <c r="Q6" s="660">
        <v>4.8</v>
      </c>
      <c r="R6" s="660">
        <v>5.8</v>
      </c>
      <c r="S6" s="660">
        <v>5.4</v>
      </c>
      <c r="T6" s="660">
        <v>5.4</v>
      </c>
      <c r="U6" s="19"/>
      <c r="V6" s="7"/>
      <c r="W6" s="1057" t="s">
        <v>208</v>
      </c>
      <c r="X6" s="1057" t="s">
        <v>209</v>
      </c>
      <c r="Y6" s="1058" t="s">
        <v>12</v>
      </c>
      <c r="Z6" s="222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40"/>
      <c r="AL6" s="8"/>
    </row>
    <row r="7" spans="1:38" ht="21" customHeight="1" x14ac:dyDescent="0.15">
      <c r="A7" s="13"/>
      <c r="B7" s="1063"/>
      <c r="C7" s="1064"/>
      <c r="D7" s="1064"/>
      <c r="E7" s="1064"/>
      <c r="F7" s="1064"/>
      <c r="G7" s="1064"/>
      <c r="H7" s="1064"/>
      <c r="I7" s="1064"/>
      <c r="J7" s="1064"/>
      <c r="K7" s="1064"/>
      <c r="L7" s="1064"/>
      <c r="M7" s="1064"/>
      <c r="N7" s="1064"/>
      <c r="O7" s="1899"/>
      <c r="P7" s="2100" t="s">
        <v>426</v>
      </c>
      <c r="Q7" s="2104">
        <v>4.8</v>
      </c>
      <c r="R7" s="2104">
        <v>5.2</v>
      </c>
      <c r="S7" s="2104">
        <v>4.5999999999999996</v>
      </c>
      <c r="T7" s="2104">
        <v>6.8</v>
      </c>
      <c r="U7" s="19"/>
      <c r="V7" s="1065"/>
      <c r="W7" s="2902" t="s">
        <v>311</v>
      </c>
      <c r="X7" s="2903"/>
      <c r="Y7" s="2903"/>
      <c r="Z7" s="1066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067"/>
      <c r="AL7" s="8"/>
    </row>
    <row r="8" spans="1:38" ht="21" customHeight="1" x14ac:dyDescent="0.15">
      <c r="A8" s="6"/>
      <c r="B8" s="2904" t="s">
        <v>312</v>
      </c>
      <c r="C8" s="2882" t="s">
        <v>440</v>
      </c>
      <c r="D8" s="2883"/>
      <c r="E8" s="2883"/>
      <c r="F8" s="2882" t="s">
        <v>439</v>
      </c>
      <c r="G8" s="2883"/>
      <c r="H8" s="2883"/>
      <c r="I8" s="2882" t="s">
        <v>386</v>
      </c>
      <c r="J8" s="2883"/>
      <c r="K8" s="2883"/>
      <c r="L8" s="2882" t="s">
        <v>441</v>
      </c>
      <c r="M8" s="2883"/>
      <c r="N8" s="2884"/>
      <c r="O8" s="1897"/>
      <c r="P8" s="593" t="s">
        <v>15</v>
      </c>
      <c r="Q8" s="594">
        <v>6.4</v>
      </c>
      <c r="R8" s="594">
        <v>6.4</v>
      </c>
      <c r="S8" s="594">
        <v>5.4</v>
      </c>
      <c r="T8" s="594">
        <v>4</v>
      </c>
      <c r="U8" s="1850"/>
      <c r="V8" s="794"/>
      <c r="W8" s="794"/>
      <c r="X8" s="794"/>
      <c r="Y8" s="794"/>
      <c r="Z8" s="40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40"/>
      <c r="AL8" s="8"/>
    </row>
    <row r="9" spans="1:38" ht="25" customHeight="1" x14ac:dyDescent="0.15">
      <c r="A9" s="6"/>
      <c r="B9" s="2905"/>
      <c r="C9" s="1055" t="s">
        <v>193</v>
      </c>
      <c r="D9" s="1068" t="s">
        <v>194</v>
      </c>
      <c r="E9" s="1055" t="s">
        <v>195</v>
      </c>
      <c r="F9" s="1068" t="s">
        <v>199</v>
      </c>
      <c r="G9" s="1055" t="s">
        <v>104</v>
      </c>
      <c r="H9" s="1055" t="s">
        <v>74</v>
      </c>
      <c r="I9" s="1069" t="s">
        <v>200</v>
      </c>
      <c r="J9" s="1069" t="s">
        <v>201</v>
      </c>
      <c r="K9" s="1055" t="s">
        <v>38</v>
      </c>
      <c r="L9" s="1055" t="s">
        <v>208</v>
      </c>
      <c r="M9" s="1055" t="s">
        <v>209</v>
      </c>
      <c r="N9" s="1070" t="s">
        <v>12</v>
      </c>
      <c r="O9" s="1079"/>
      <c r="P9" s="2098" t="s">
        <v>17</v>
      </c>
      <c r="Q9" s="2102">
        <v>6.2</v>
      </c>
      <c r="R9" s="2102">
        <v>5.6</v>
      </c>
      <c r="S9" s="2102">
        <v>6.2</v>
      </c>
      <c r="T9" s="2102">
        <v>7.2</v>
      </c>
      <c r="U9" s="1850"/>
      <c r="V9" s="14"/>
      <c r="W9" s="14"/>
      <c r="X9" s="14"/>
      <c r="Y9" s="14"/>
      <c r="Z9" s="40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40"/>
      <c r="AL9" s="8"/>
    </row>
    <row r="10" spans="1:38" ht="25" customHeight="1" x14ac:dyDescent="0.15">
      <c r="A10" s="6"/>
      <c r="B10" s="2906"/>
      <c r="C10" s="1071"/>
      <c r="D10" s="1072"/>
      <c r="E10" s="672" t="s">
        <v>429</v>
      </c>
      <c r="F10" s="2382" t="s">
        <v>431</v>
      </c>
      <c r="G10" s="620" t="s">
        <v>425</v>
      </c>
      <c r="H10" s="1073"/>
      <c r="I10" s="2377" t="s">
        <v>432</v>
      </c>
      <c r="J10" s="1074"/>
      <c r="K10" s="606" t="s">
        <v>14</v>
      </c>
      <c r="L10" s="2375" t="s">
        <v>9</v>
      </c>
      <c r="M10" s="1906"/>
      <c r="N10" s="1904"/>
      <c r="O10" s="1084"/>
      <c r="P10" s="606" t="s">
        <v>14</v>
      </c>
      <c r="Q10" s="607">
        <v>7</v>
      </c>
      <c r="R10" s="607">
        <v>5.8</v>
      </c>
      <c r="S10" s="607">
        <v>7.4</v>
      </c>
      <c r="T10" s="607">
        <v>5.6</v>
      </c>
      <c r="U10" s="1850"/>
      <c r="V10" s="14"/>
      <c r="W10" s="14"/>
      <c r="X10" s="14"/>
      <c r="Y10" s="14"/>
      <c r="Z10" s="1067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067"/>
      <c r="AL10" s="8"/>
    </row>
    <row r="11" spans="1:38" ht="17" customHeight="1" x14ac:dyDescent="0.15">
      <c r="A11" s="6"/>
      <c r="B11" s="1061" t="s">
        <v>172</v>
      </c>
      <c r="C11" s="2879" t="s">
        <v>433</v>
      </c>
      <c r="D11" s="2879"/>
      <c r="E11" s="2879"/>
      <c r="F11" s="2879" t="s">
        <v>434</v>
      </c>
      <c r="G11" s="2879"/>
      <c r="H11" s="2879"/>
      <c r="I11" s="2870" t="s">
        <v>428</v>
      </c>
      <c r="J11" s="2890"/>
      <c r="K11" s="2890"/>
      <c r="L11" s="2879" t="s">
        <v>146</v>
      </c>
      <c r="M11" s="2879"/>
      <c r="N11" s="2889"/>
      <c r="O11" s="1084"/>
      <c r="P11" s="2375" t="s">
        <v>9</v>
      </c>
      <c r="Q11" s="2376">
        <v>5.6</v>
      </c>
      <c r="R11" s="2376">
        <v>7.2</v>
      </c>
      <c r="S11" s="2376">
        <v>7.2</v>
      </c>
      <c r="T11" s="2376">
        <v>6.2</v>
      </c>
      <c r="U11" s="1850"/>
      <c r="V11" s="14"/>
      <c r="W11" s="14"/>
      <c r="X11" s="14"/>
      <c r="Y11" s="14"/>
      <c r="Z11" s="1067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067"/>
      <c r="AL11" s="8"/>
    </row>
    <row r="12" spans="1:38" ht="17" customHeight="1" x14ac:dyDescent="0.15">
      <c r="A12" s="6"/>
      <c r="B12" s="1075" t="s">
        <v>246</v>
      </c>
      <c r="C12" s="2869">
        <f>(S5+S6)/2</f>
        <v>4.8000000000000007</v>
      </c>
      <c r="D12" s="2869"/>
      <c r="E12" s="2869"/>
      <c r="F12" s="2869">
        <f>(S3+S4+S7+S8)/4</f>
        <v>4.5</v>
      </c>
      <c r="G12" s="2869"/>
      <c r="H12" s="2869"/>
      <c r="I12" s="2869">
        <f>(S12+S10+S9)/3</f>
        <v>6.7333333333333334</v>
      </c>
      <c r="J12" s="2869"/>
      <c r="K12" s="2869"/>
      <c r="L12" s="2869">
        <f>S11</f>
        <v>7.2</v>
      </c>
      <c r="M12" s="2869"/>
      <c r="N12" s="2901"/>
      <c r="O12" s="1900"/>
      <c r="P12" s="2377" t="s">
        <v>13</v>
      </c>
      <c r="Q12" s="2378">
        <v>6.4</v>
      </c>
      <c r="R12" s="2378">
        <v>7.4</v>
      </c>
      <c r="S12" s="2378">
        <v>6.6</v>
      </c>
      <c r="T12" s="2379">
        <v>7.4</v>
      </c>
      <c r="U12" s="1850"/>
      <c r="V12" s="14"/>
      <c r="W12" s="14"/>
      <c r="X12" s="14"/>
      <c r="Y12" s="14"/>
      <c r="Z12" s="40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40"/>
      <c r="AL12" s="8"/>
    </row>
    <row r="13" spans="1:38" ht="20" customHeight="1" x14ac:dyDescent="0.15">
      <c r="A13" s="13"/>
      <c r="B13" s="1063"/>
      <c r="C13" s="1064"/>
      <c r="D13" s="1064"/>
      <c r="E13" s="1064"/>
      <c r="F13" s="1064"/>
      <c r="G13" s="1064"/>
      <c r="H13" s="1064"/>
      <c r="I13" s="1064"/>
      <c r="J13" s="1064"/>
      <c r="K13" s="1064"/>
      <c r="L13" s="1064"/>
      <c r="M13" s="1064"/>
      <c r="N13" s="1064"/>
      <c r="O13" s="1076"/>
      <c r="P13" s="1850"/>
      <c r="Q13" s="1850"/>
      <c r="R13" s="1850"/>
      <c r="S13" s="1850"/>
      <c r="T13" s="40"/>
      <c r="U13" s="14"/>
      <c r="V13" s="14"/>
      <c r="W13" s="14"/>
      <c r="X13" s="14"/>
      <c r="Y13" s="14"/>
      <c r="Z13" s="40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40"/>
      <c r="AL13" s="8"/>
    </row>
    <row r="14" spans="1:38" ht="25" customHeight="1" x14ac:dyDescent="0.15">
      <c r="A14" s="6"/>
      <c r="B14" s="2876" t="s">
        <v>313</v>
      </c>
      <c r="C14" s="1077" t="s">
        <v>314</v>
      </c>
      <c r="D14" s="1077" t="s">
        <v>315</v>
      </c>
      <c r="E14" s="1077" t="s">
        <v>316</v>
      </c>
      <c r="F14" s="1077" t="s">
        <v>316</v>
      </c>
      <c r="G14" s="1077" t="s">
        <v>315</v>
      </c>
      <c r="H14" s="1077" t="s">
        <v>314</v>
      </c>
      <c r="I14" s="1077" t="s">
        <v>314</v>
      </c>
      <c r="J14" s="1077" t="s">
        <v>315</v>
      </c>
      <c r="K14" s="1077" t="s">
        <v>316</v>
      </c>
      <c r="L14" s="1077" t="s">
        <v>316</v>
      </c>
      <c r="M14" s="1077" t="s">
        <v>315</v>
      </c>
      <c r="N14" s="1078" t="s">
        <v>314</v>
      </c>
      <c r="O14" s="1079"/>
      <c r="P14" s="1911"/>
      <c r="Q14" s="1912"/>
      <c r="R14" s="1912"/>
      <c r="S14" s="1912"/>
      <c r="T14" s="1912"/>
      <c r="U14" s="14"/>
      <c r="V14" s="14"/>
      <c r="W14" s="14"/>
      <c r="X14" s="14"/>
      <c r="Y14" s="14"/>
      <c r="Z14" s="1067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067"/>
      <c r="AL14" s="8"/>
    </row>
    <row r="15" spans="1:38" ht="17" customHeight="1" x14ac:dyDescent="0.15">
      <c r="A15" s="6"/>
      <c r="B15" s="2877"/>
      <c r="C15" s="1080" t="s">
        <v>193</v>
      </c>
      <c r="D15" s="1081" t="s">
        <v>194</v>
      </c>
      <c r="E15" s="1080" t="s">
        <v>195</v>
      </c>
      <c r="F15" s="1081" t="s">
        <v>199</v>
      </c>
      <c r="G15" s="1080" t="s">
        <v>104</v>
      </c>
      <c r="H15" s="1080" t="s">
        <v>74</v>
      </c>
      <c r="I15" s="1082" t="s">
        <v>200</v>
      </c>
      <c r="J15" s="1082" t="s">
        <v>201</v>
      </c>
      <c r="K15" s="1080" t="s">
        <v>38</v>
      </c>
      <c r="L15" s="1080" t="s">
        <v>208</v>
      </c>
      <c r="M15" s="1080" t="s">
        <v>209</v>
      </c>
      <c r="N15" s="1083" t="s">
        <v>12</v>
      </c>
      <c r="O15" s="1084"/>
      <c r="P15" s="1912"/>
      <c r="Q15" s="1912"/>
      <c r="R15" s="1912"/>
      <c r="S15" s="1912"/>
      <c r="T15" s="1912"/>
      <c r="U15" s="14"/>
      <c r="V15" s="14"/>
      <c r="W15" s="14"/>
      <c r="X15" s="14"/>
      <c r="Y15" s="14"/>
      <c r="Z15" s="40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40"/>
      <c r="AL15" s="8"/>
    </row>
    <row r="16" spans="1:38" ht="25" customHeight="1" x14ac:dyDescent="0.15">
      <c r="A16" s="6"/>
      <c r="B16" s="2878"/>
      <c r="C16" s="1085"/>
      <c r="D16" s="1086"/>
      <c r="E16" s="672" t="s">
        <v>429</v>
      </c>
      <c r="F16" s="2383" t="s">
        <v>10</v>
      </c>
      <c r="G16" s="2384" t="s">
        <v>443</v>
      </c>
      <c r="H16" s="1087"/>
      <c r="I16" s="2377" t="s">
        <v>432</v>
      </c>
      <c r="J16" s="1905"/>
      <c r="K16" s="606" t="s">
        <v>14</v>
      </c>
      <c r="L16" s="1088"/>
      <c r="M16" s="2375" t="s">
        <v>9</v>
      </c>
      <c r="N16" s="1907"/>
      <c r="O16" s="7"/>
      <c r="P16" s="1912"/>
      <c r="Q16" s="1912"/>
      <c r="R16" s="1912"/>
      <c r="S16" s="1912"/>
      <c r="T16" s="1912"/>
      <c r="U16" s="14"/>
      <c r="V16" s="14"/>
      <c r="W16" s="14"/>
      <c r="X16" s="14"/>
      <c r="Y16" s="14"/>
      <c r="Z16" s="40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40"/>
      <c r="AL16" s="8"/>
    </row>
    <row r="17" spans="1:38" ht="17" customHeight="1" x14ac:dyDescent="0.15">
      <c r="A17" s="6"/>
      <c r="B17" s="1092" t="s">
        <v>172</v>
      </c>
      <c r="C17" s="1093"/>
      <c r="D17" s="1093"/>
      <c r="E17" s="1093" t="s">
        <v>433</v>
      </c>
      <c r="F17" s="1093" t="s">
        <v>444</v>
      </c>
      <c r="G17" s="1093" t="s">
        <v>459</v>
      </c>
      <c r="H17" s="1093"/>
      <c r="I17" s="1093" t="s">
        <v>13</v>
      </c>
      <c r="J17" s="1093"/>
      <c r="K17" s="1093" t="s">
        <v>445</v>
      </c>
      <c r="L17" s="1093"/>
      <c r="M17" s="1093" t="s">
        <v>146</v>
      </c>
      <c r="N17" s="1094"/>
      <c r="O17" s="7"/>
      <c r="P17" s="1912"/>
      <c r="Q17" s="1912"/>
      <c r="R17" s="1912"/>
      <c r="S17" s="1912"/>
      <c r="T17" s="1912"/>
      <c r="U17" s="14"/>
      <c r="V17" s="14"/>
      <c r="W17" s="14"/>
      <c r="X17" s="14"/>
      <c r="Y17" s="14"/>
      <c r="Z17" s="40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40"/>
      <c r="AL17" s="8"/>
    </row>
    <row r="18" spans="1:38" ht="17" customHeight="1" x14ac:dyDescent="0.15">
      <c r="A18" s="6"/>
      <c r="B18" s="1089" t="s">
        <v>246</v>
      </c>
      <c r="C18" s="1090"/>
      <c r="D18" s="1090"/>
      <c r="E18" s="1090">
        <f>(R5+R6)/2</f>
        <v>4.5</v>
      </c>
      <c r="F18" s="1090">
        <f>R3</f>
        <v>5.2</v>
      </c>
      <c r="G18" s="1090">
        <f>(R7+R4+R8)/3</f>
        <v>4.9333333333333336</v>
      </c>
      <c r="H18" s="1090"/>
      <c r="I18" s="1090">
        <f>(R9+R12)/2</f>
        <v>6.5</v>
      </c>
      <c r="J18" s="1090"/>
      <c r="K18" s="1090">
        <f>R10</f>
        <v>5.8</v>
      </c>
      <c r="L18" s="1090"/>
      <c r="M18" s="1090">
        <f>R11</f>
        <v>7.2</v>
      </c>
      <c r="N18" s="1091"/>
      <c r="O18" s="7"/>
      <c r="P18" s="1912"/>
      <c r="Q18" s="1912"/>
      <c r="R18" s="1912"/>
      <c r="S18" s="1912"/>
      <c r="T18" s="1912"/>
      <c r="U18" s="14"/>
      <c r="V18" s="14"/>
      <c r="W18" s="14"/>
      <c r="X18" s="14"/>
      <c r="Y18" s="14"/>
      <c r="Z18" s="40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40"/>
      <c r="AL18" s="8"/>
    </row>
    <row r="19" spans="1:38" ht="16" customHeight="1" x14ac:dyDescent="0.15">
      <c r="A19" s="6"/>
      <c r="B19" s="1095" t="s">
        <v>317</v>
      </c>
      <c r="C19" s="1908" t="s">
        <v>387</v>
      </c>
      <c r="D19" s="2864" t="s">
        <v>435</v>
      </c>
      <c r="E19" s="2864"/>
      <c r="F19" s="1909">
        <v>6.5</v>
      </c>
      <c r="G19" s="1908" t="s">
        <v>388</v>
      </c>
      <c r="H19" s="2864" t="s">
        <v>447</v>
      </c>
      <c r="I19" s="2864"/>
      <c r="J19" s="1909">
        <f>(R7+R4+R8+R11)/4</f>
        <v>5.5</v>
      </c>
      <c r="K19" s="1908" t="s">
        <v>389</v>
      </c>
      <c r="L19" s="2864" t="s">
        <v>448</v>
      </c>
      <c r="M19" s="2864"/>
      <c r="N19" s="1909">
        <f>(R5+R6+R3+R10)/4</f>
        <v>5</v>
      </c>
      <c r="O19" s="7"/>
      <c r="P19" s="1912"/>
      <c r="Q19" s="1912"/>
      <c r="R19" s="1912"/>
      <c r="S19" s="1912"/>
      <c r="T19" s="1912"/>
      <c r="U19" s="14"/>
      <c r="V19" s="14"/>
      <c r="W19" s="14"/>
      <c r="X19" s="14"/>
      <c r="Y19" s="14"/>
      <c r="Z19" s="40"/>
      <c r="AA19" s="14"/>
      <c r="AB19" s="14"/>
      <c r="AC19" s="14"/>
      <c r="AD19" s="14"/>
      <c r="AE19" s="14"/>
      <c r="AF19" s="588"/>
      <c r="AG19" s="14"/>
      <c r="AH19" s="14"/>
      <c r="AI19" s="14"/>
      <c r="AJ19" s="14"/>
      <c r="AK19" s="40"/>
      <c r="AL19" s="8"/>
    </row>
    <row r="20" spans="1:38" ht="20" customHeight="1" x14ac:dyDescent="0.15">
      <c r="A20" s="13"/>
      <c r="B20" s="1925"/>
      <c r="C20" s="1925"/>
      <c r="D20" s="1925"/>
      <c r="E20" s="1925"/>
      <c r="F20" s="1925"/>
      <c r="G20" s="1925"/>
      <c r="H20" s="1925"/>
      <c r="I20" s="1925"/>
      <c r="J20" s="1925"/>
      <c r="K20" s="1925"/>
      <c r="L20" s="1926"/>
      <c r="M20" s="1925"/>
      <c r="N20" s="1925"/>
      <c r="O20" s="1896"/>
      <c r="P20" s="1896"/>
      <c r="Q20" s="14"/>
      <c r="R20" s="14"/>
      <c r="S20" s="14"/>
      <c r="T20" s="40"/>
      <c r="U20" s="14"/>
      <c r="V20" s="14"/>
      <c r="W20" s="14"/>
      <c r="X20" s="14"/>
      <c r="Y20" s="14"/>
      <c r="Z20" s="40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40"/>
      <c r="AL20" s="8"/>
    </row>
    <row r="21" spans="1:38" ht="21" customHeight="1" x14ac:dyDescent="0.15">
      <c r="A21" s="13"/>
      <c r="B21" s="2873" t="s">
        <v>154</v>
      </c>
      <c r="C21" s="2874"/>
      <c r="D21" s="2874"/>
      <c r="E21" s="2874"/>
      <c r="F21" s="2874"/>
      <c r="G21" s="2874"/>
      <c r="H21" s="2874"/>
      <c r="I21" s="2874"/>
      <c r="J21" s="2874"/>
      <c r="K21" s="2874"/>
      <c r="L21" s="2874"/>
      <c r="M21" s="2874"/>
      <c r="N21" s="2874"/>
      <c r="O21" s="2874"/>
      <c r="P21" s="2875"/>
      <c r="Q21" s="1896"/>
      <c r="R21" s="14"/>
      <c r="S21" s="14"/>
      <c r="T21" s="40"/>
      <c r="U21" s="14"/>
      <c r="V21" s="14"/>
      <c r="W21" s="14"/>
      <c r="X21" s="14"/>
      <c r="Y21" s="14"/>
      <c r="Z21" s="40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40"/>
      <c r="AL21" s="8"/>
    </row>
    <row r="22" spans="1:38" ht="21" customHeight="1" x14ac:dyDescent="0.3">
      <c r="A22" s="13"/>
      <c r="B22" s="2885" t="s">
        <v>392</v>
      </c>
      <c r="C22" s="2886"/>
      <c r="D22" s="586"/>
      <c r="E22" s="1097" t="s">
        <v>318</v>
      </c>
      <c r="F22" s="2899" t="s">
        <v>319</v>
      </c>
      <c r="G22" s="2900"/>
      <c r="H22" s="2236" t="s">
        <v>172</v>
      </c>
      <c r="I22" s="2236" t="s">
        <v>320</v>
      </c>
      <c r="J22" s="1098" t="s">
        <v>74</v>
      </c>
      <c r="K22" s="1099"/>
      <c r="L22" s="1919" t="s">
        <v>321</v>
      </c>
      <c r="M22" s="2236" t="s">
        <v>53</v>
      </c>
      <c r="N22" s="2236" t="s">
        <v>172</v>
      </c>
      <c r="O22" s="2236" t="s">
        <v>320</v>
      </c>
      <c r="P22" s="1928" t="s">
        <v>74</v>
      </c>
      <c r="Q22" s="1896"/>
      <c r="R22" s="14"/>
      <c r="S22" s="14"/>
      <c r="T22" s="40"/>
      <c r="U22" s="14"/>
      <c r="V22" s="14"/>
      <c r="W22" s="2380"/>
      <c r="X22" s="14"/>
      <c r="Y22" s="14"/>
      <c r="Z22" s="40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40"/>
      <c r="AL22" s="8"/>
    </row>
    <row r="23" spans="1:38" ht="21" customHeight="1" x14ac:dyDescent="0.15">
      <c r="A23" s="13"/>
      <c r="B23" s="2862" t="s">
        <v>393</v>
      </c>
      <c r="C23" s="2863"/>
      <c r="D23" s="1100"/>
      <c r="E23" s="1101" t="s">
        <v>322</v>
      </c>
      <c r="F23" s="2894" t="s">
        <v>451</v>
      </c>
      <c r="G23" s="2895"/>
      <c r="H23" s="1913" t="s">
        <v>457</v>
      </c>
      <c r="I23" s="1102">
        <f>(S6+S5+S3+S7+S4+S8)/6</f>
        <v>4.6000000000000005</v>
      </c>
      <c r="J23" s="1103">
        <v>1</v>
      </c>
      <c r="K23" s="1918"/>
      <c r="L23" s="1920" t="s">
        <v>422</v>
      </c>
      <c r="M23" s="2389" t="s">
        <v>450</v>
      </c>
      <c r="N23" s="1923" t="s">
        <v>460</v>
      </c>
      <c r="O23" s="2388">
        <v>4.6000000000000005</v>
      </c>
      <c r="P23" s="2392">
        <v>1</v>
      </c>
      <c r="Q23" s="1896"/>
      <c r="R23" s="14"/>
      <c r="S23" s="14"/>
      <c r="T23" s="40"/>
      <c r="U23" s="14"/>
      <c r="V23" s="14"/>
      <c r="W23" s="14"/>
      <c r="X23" s="14"/>
      <c r="Y23" s="14"/>
      <c r="Z23" s="40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40"/>
      <c r="AL23" s="8"/>
    </row>
    <row r="24" spans="1:38" ht="21" customHeight="1" x14ac:dyDescent="0.15">
      <c r="A24" s="13"/>
      <c r="B24" s="1927"/>
      <c r="C24" s="1096"/>
      <c r="D24" s="1100"/>
      <c r="E24" s="1104" t="s">
        <v>323</v>
      </c>
      <c r="F24" s="2896" t="s">
        <v>452</v>
      </c>
      <c r="G24" s="2868"/>
      <c r="H24" s="1914" t="s">
        <v>453</v>
      </c>
      <c r="I24" s="1105">
        <f>(S12+S9+S10+S11)/4</f>
        <v>6.8500000000000005</v>
      </c>
      <c r="J24" s="1106">
        <v>2</v>
      </c>
      <c r="K24" s="1918"/>
      <c r="L24" s="1920" t="s">
        <v>38</v>
      </c>
      <c r="M24" s="1924" t="s">
        <v>23</v>
      </c>
      <c r="N24" s="1921" t="s">
        <v>462</v>
      </c>
      <c r="O24" s="2388">
        <v>4.5999999999999996</v>
      </c>
      <c r="P24" s="2391">
        <v>2</v>
      </c>
      <c r="Q24" s="1896"/>
      <c r="R24" s="14"/>
      <c r="S24" s="14"/>
      <c r="T24" s="40"/>
      <c r="U24" s="14"/>
      <c r="V24" s="14"/>
      <c r="W24" s="14"/>
      <c r="X24" s="14"/>
      <c r="Y24" s="14"/>
      <c r="Z24" s="40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40"/>
      <c r="AL24" s="8"/>
    </row>
    <row r="25" spans="1:38" ht="21" customHeight="1" x14ac:dyDescent="0.15">
      <c r="A25" s="13"/>
      <c r="B25" s="2887" t="s">
        <v>390</v>
      </c>
      <c r="C25" s="2888"/>
      <c r="D25" s="1100"/>
      <c r="E25" s="1101" t="s">
        <v>324</v>
      </c>
      <c r="F25" s="2894" t="s">
        <v>454</v>
      </c>
      <c r="G25" s="2895"/>
      <c r="H25" s="1914" t="s">
        <v>456</v>
      </c>
      <c r="I25" s="1105">
        <f>(S11+S6+S5+S3)/4</f>
        <v>5.25</v>
      </c>
      <c r="J25" s="1106">
        <v>1</v>
      </c>
      <c r="K25" s="1918"/>
      <c r="L25" s="1920" t="s">
        <v>376</v>
      </c>
      <c r="M25" s="1924" t="s">
        <v>461</v>
      </c>
      <c r="N25" s="1923" t="s">
        <v>181</v>
      </c>
      <c r="O25" s="2388">
        <v>4.5999999999999996</v>
      </c>
      <c r="P25" s="2392">
        <v>3</v>
      </c>
      <c r="Q25" s="1896"/>
      <c r="R25" s="14"/>
      <c r="S25" s="14"/>
      <c r="T25" s="40"/>
      <c r="U25" s="14"/>
      <c r="V25" s="14"/>
      <c r="W25" s="14"/>
      <c r="X25" s="14"/>
      <c r="Y25" s="14"/>
      <c r="Z25" s="40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40"/>
      <c r="AL25" s="8"/>
    </row>
    <row r="26" spans="1:38" ht="21" customHeight="1" x14ac:dyDescent="0.15">
      <c r="A26" s="13"/>
      <c r="B26" s="2860" t="s">
        <v>391</v>
      </c>
      <c r="C26" s="2861"/>
      <c r="D26" s="1100"/>
      <c r="E26" s="1101" t="s">
        <v>325</v>
      </c>
      <c r="F26" s="2867" t="s">
        <v>455</v>
      </c>
      <c r="G26" s="2868"/>
      <c r="H26" s="1914" t="s">
        <v>458</v>
      </c>
      <c r="I26" s="1105">
        <f>(S7+S4+S8+S12+S9+S10)/6</f>
        <v>5.666666666666667</v>
      </c>
      <c r="J26" s="1106">
        <v>2</v>
      </c>
      <c r="K26" s="1918"/>
      <c r="L26" s="1920" t="s">
        <v>384</v>
      </c>
      <c r="M26" s="1924" t="s">
        <v>435</v>
      </c>
      <c r="N26" s="2387" t="s">
        <v>58</v>
      </c>
      <c r="O26" s="2388">
        <v>6.4</v>
      </c>
      <c r="P26" s="2392">
        <v>4</v>
      </c>
      <c r="Q26" s="1896"/>
      <c r="R26" s="14"/>
      <c r="S26" s="14"/>
      <c r="T26" s="40"/>
      <c r="U26" s="14"/>
      <c r="V26" s="14"/>
      <c r="W26" s="14"/>
      <c r="X26" s="14"/>
      <c r="Y26" s="14"/>
      <c r="Z26" s="40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40"/>
      <c r="AL26" s="8"/>
    </row>
    <row r="27" spans="1:38" ht="21" customHeight="1" x14ac:dyDescent="0.15">
      <c r="A27" s="13"/>
      <c r="B27" s="1927"/>
      <c r="C27" s="1096"/>
      <c r="D27" s="586"/>
      <c r="E27" s="1107"/>
      <c r="F27" s="1108"/>
      <c r="G27" s="1109"/>
      <c r="H27" s="1110"/>
      <c r="I27" s="1111"/>
      <c r="J27" s="1111"/>
      <c r="K27" s="2235"/>
      <c r="L27" s="1920" t="s">
        <v>377</v>
      </c>
      <c r="M27" s="1924" t="s">
        <v>9</v>
      </c>
      <c r="N27" s="1921" t="s">
        <v>146</v>
      </c>
      <c r="O27" s="2388">
        <v>7.2</v>
      </c>
      <c r="P27" s="2392">
        <v>5</v>
      </c>
      <c r="Q27" s="1896"/>
      <c r="R27" s="14"/>
      <c r="S27" s="14"/>
      <c r="T27" s="40"/>
      <c r="U27" s="14"/>
      <c r="V27" s="14"/>
      <c r="W27" s="14"/>
      <c r="X27" s="14"/>
      <c r="Y27" s="14"/>
      <c r="Z27" s="40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40"/>
      <c r="AL27" s="8"/>
    </row>
    <row r="28" spans="1:38" ht="21" customHeight="1" x14ac:dyDescent="0.15">
      <c r="A28" s="13"/>
      <c r="B28" s="1927"/>
      <c r="C28" s="1096"/>
      <c r="D28" s="586"/>
      <c r="E28" s="1112" t="s">
        <v>326</v>
      </c>
      <c r="F28" s="2880" t="s">
        <v>319</v>
      </c>
      <c r="G28" s="2881"/>
      <c r="H28" s="2237" t="s">
        <v>172</v>
      </c>
      <c r="I28" s="2237" t="s">
        <v>320</v>
      </c>
      <c r="J28" s="1113" t="s">
        <v>74</v>
      </c>
      <c r="K28" s="1099"/>
      <c r="L28" s="1920" t="s">
        <v>379</v>
      </c>
      <c r="M28" s="1924" t="s">
        <v>14</v>
      </c>
      <c r="N28" s="1923" t="s">
        <v>445</v>
      </c>
      <c r="O28" s="2388">
        <v>7.4</v>
      </c>
      <c r="P28" s="2392">
        <v>6</v>
      </c>
      <c r="Q28" s="1896"/>
      <c r="R28" s="14"/>
      <c r="S28" s="14"/>
      <c r="T28" s="40"/>
      <c r="U28" s="14"/>
      <c r="V28" s="14"/>
      <c r="W28" s="14"/>
      <c r="X28" s="14"/>
      <c r="Y28" s="14"/>
      <c r="Z28" s="40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40"/>
      <c r="AL28" s="8"/>
    </row>
    <row r="29" spans="1:38" ht="21" customHeight="1" x14ac:dyDescent="0.15">
      <c r="A29" s="13"/>
      <c r="B29" s="1927"/>
      <c r="C29" s="1096"/>
      <c r="D29" s="1114"/>
      <c r="E29" s="1115" t="s">
        <v>327</v>
      </c>
      <c r="F29" s="2872" t="s">
        <v>446</v>
      </c>
      <c r="G29" s="2872"/>
      <c r="H29" s="2385" t="s">
        <v>459</v>
      </c>
      <c r="I29" s="1116">
        <f>(S7+S4+S8)/3</f>
        <v>4.5999999999999996</v>
      </c>
      <c r="J29" s="1117">
        <v>1</v>
      </c>
      <c r="K29" s="1119"/>
      <c r="L29" s="1916"/>
      <c r="M29" s="1917"/>
      <c r="N29" s="1705"/>
      <c r="O29" s="586"/>
      <c r="P29" s="1929"/>
      <c r="Q29" s="1118"/>
      <c r="R29" s="1118"/>
      <c r="S29" s="1118"/>
      <c r="T29" s="1118"/>
      <c r="U29" s="1118"/>
      <c r="V29" s="14"/>
      <c r="W29" s="14"/>
      <c r="X29" s="14"/>
      <c r="Y29" s="14"/>
      <c r="Z29" s="40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40"/>
      <c r="AL29" s="8"/>
    </row>
    <row r="30" spans="1:38" ht="21" customHeight="1" x14ac:dyDescent="0.15">
      <c r="A30" s="13"/>
      <c r="B30" s="1927"/>
      <c r="C30" s="1096"/>
      <c r="D30" s="1114"/>
      <c r="E30" s="1115" t="s">
        <v>328</v>
      </c>
      <c r="F30" s="2867" t="s">
        <v>463</v>
      </c>
      <c r="G30" s="2868"/>
      <c r="H30" s="2385" t="s">
        <v>13</v>
      </c>
      <c r="I30" s="1116">
        <f>(S12+S9+S10)/3</f>
        <v>6.7333333333333343</v>
      </c>
      <c r="J30" s="1117">
        <v>3</v>
      </c>
      <c r="K30" s="1119"/>
      <c r="L30" s="2235"/>
      <c r="M30" s="2235"/>
      <c r="N30" s="2235"/>
      <c r="O30" s="2235"/>
      <c r="P30" s="1930"/>
      <c r="Q30" s="1118"/>
      <c r="R30" s="1118"/>
      <c r="S30" s="1118"/>
      <c r="T30" s="1118"/>
      <c r="U30" s="14"/>
      <c r="V30" s="14"/>
      <c r="W30" s="14"/>
      <c r="X30" s="14"/>
      <c r="Y30" s="14"/>
      <c r="Z30" s="40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40"/>
      <c r="AL30" s="8"/>
    </row>
    <row r="31" spans="1:38" ht="21" customHeight="1" x14ac:dyDescent="0.15">
      <c r="A31" s="13"/>
      <c r="B31" s="1931"/>
      <c r="C31" s="1120"/>
      <c r="D31" s="1121"/>
      <c r="E31" s="1122" t="s">
        <v>329</v>
      </c>
      <c r="F31" s="2858" t="s">
        <v>9</v>
      </c>
      <c r="G31" s="2859"/>
      <c r="H31" s="1915" t="s">
        <v>146</v>
      </c>
      <c r="I31" s="2393">
        <f>S11</f>
        <v>7.2</v>
      </c>
      <c r="J31" s="1940">
        <v>4</v>
      </c>
      <c r="K31" s="1123"/>
      <c r="L31" s="2235"/>
      <c r="M31" s="2235"/>
      <c r="N31" s="2235"/>
      <c r="O31" s="2235"/>
      <c r="P31" s="1930"/>
      <c r="Q31" s="1896"/>
      <c r="R31" s="14"/>
      <c r="S31" s="14"/>
      <c r="T31" s="40"/>
      <c r="U31" s="14"/>
      <c r="V31" s="14"/>
      <c r="W31" s="14"/>
      <c r="X31" s="14"/>
      <c r="Y31" s="14"/>
      <c r="Z31" s="40"/>
      <c r="AA31" s="14"/>
      <c r="AB31" s="40"/>
      <c r="AC31" s="14"/>
      <c r="AD31" s="14"/>
      <c r="AE31" s="14"/>
      <c r="AF31" s="14"/>
      <c r="AG31" s="14"/>
      <c r="AH31" s="14"/>
      <c r="AI31" s="14"/>
      <c r="AJ31" s="14"/>
      <c r="AK31" s="40"/>
      <c r="AL31" s="8"/>
    </row>
    <row r="32" spans="1:38" ht="21" customHeight="1" x14ac:dyDescent="0.15">
      <c r="A32" s="13"/>
      <c r="B32" s="1932"/>
      <c r="C32" s="1933"/>
      <c r="D32" s="1934"/>
      <c r="E32" s="1935" t="s">
        <v>330</v>
      </c>
      <c r="F32" s="2865" t="s">
        <v>450</v>
      </c>
      <c r="G32" s="2866"/>
      <c r="H32" s="2386" t="s">
        <v>460</v>
      </c>
      <c r="I32" s="1936">
        <f>(S6+S3+S5)/3</f>
        <v>4.6000000000000005</v>
      </c>
      <c r="J32" s="1941">
        <v>2</v>
      </c>
      <c r="K32" s="1937"/>
      <c r="L32" s="1938"/>
      <c r="M32" s="1938"/>
      <c r="N32" s="1938"/>
      <c r="O32" s="1938"/>
      <c r="P32" s="1939"/>
      <c r="Q32" s="1896"/>
      <c r="R32" s="14"/>
      <c r="S32" s="14"/>
      <c r="T32" s="40"/>
      <c r="U32" s="14"/>
      <c r="V32" s="14"/>
      <c r="W32" s="14"/>
      <c r="X32" s="14"/>
      <c r="Y32" s="14"/>
      <c r="Z32" s="40"/>
      <c r="AA32" s="14"/>
      <c r="AB32" s="40"/>
      <c r="AC32" s="14"/>
      <c r="AD32" s="14"/>
      <c r="AE32" s="14"/>
      <c r="AF32" s="14"/>
      <c r="AG32" s="14"/>
      <c r="AH32" s="14"/>
      <c r="AI32" s="14"/>
      <c r="AJ32" s="14"/>
      <c r="AK32" s="40"/>
      <c r="AL32" s="8"/>
    </row>
    <row r="33" spans="1:38" ht="21" customHeight="1" x14ac:dyDescent="0.15">
      <c r="A33" s="13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14"/>
      <c r="V33" s="14"/>
      <c r="W33" s="14"/>
      <c r="X33" s="14"/>
      <c r="Y33" s="14"/>
      <c r="Z33" s="40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124"/>
      <c r="AL33" s="8"/>
    </row>
    <row r="34" spans="1:38" ht="21" customHeight="1" x14ac:dyDescent="0.2">
      <c r="A34" s="13"/>
      <c r="B34" s="1194"/>
      <c r="C34" s="1942"/>
      <c r="D34" s="1942"/>
      <c r="E34" s="2857" t="s">
        <v>152</v>
      </c>
      <c r="F34" s="2857"/>
      <c r="G34" s="2857"/>
      <c r="H34" s="2857"/>
      <c r="I34" s="2857"/>
      <c r="J34" s="2857"/>
      <c r="K34"/>
      <c r="Q34" s="40"/>
      <c r="R34" s="40"/>
      <c r="S34" s="40"/>
      <c r="T34" s="40"/>
      <c r="U34" s="14"/>
      <c r="V34" s="14"/>
      <c r="W34" s="14"/>
      <c r="X34" s="14"/>
      <c r="Y34" s="14"/>
      <c r="Z34" s="40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124"/>
      <c r="AL34" s="8"/>
    </row>
    <row r="35" spans="1:38" ht="21" customHeight="1" x14ac:dyDescent="0.15">
      <c r="A35" s="13"/>
      <c r="B35" s="1943"/>
      <c r="C35" s="586"/>
      <c r="D35" s="1944"/>
      <c r="E35" s="2405" t="s">
        <v>31</v>
      </c>
      <c r="F35" s="2406" t="s">
        <v>319</v>
      </c>
      <c r="G35" s="2407"/>
      <c r="H35" s="2408" t="s">
        <v>172</v>
      </c>
      <c r="I35" s="2408" t="s">
        <v>320</v>
      </c>
      <c r="J35" s="2409" t="s">
        <v>74</v>
      </c>
      <c r="K35" s="1896"/>
      <c r="Y35" s="14"/>
      <c r="Z35" s="40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124"/>
      <c r="AL35" s="8"/>
    </row>
    <row r="36" spans="1:38" ht="21" customHeight="1" x14ac:dyDescent="0.15">
      <c r="A36" s="13"/>
      <c r="B36" s="1943"/>
      <c r="C36" s="586"/>
      <c r="D36" s="588"/>
      <c r="E36" s="2410" t="s">
        <v>38</v>
      </c>
      <c r="F36" s="2401" t="s">
        <v>449</v>
      </c>
      <c r="G36" s="2401"/>
      <c r="H36" s="2402" t="s">
        <v>40</v>
      </c>
      <c r="I36" s="2394">
        <v>3.5</v>
      </c>
      <c r="J36" s="2390">
        <v>1</v>
      </c>
      <c r="K36" s="14"/>
      <c r="Q36" s="14"/>
      <c r="R36" s="14"/>
      <c r="S36" s="14"/>
      <c r="T36" s="40"/>
      <c r="U36" s="14"/>
      <c r="V36" s="14"/>
      <c r="W36" s="14"/>
      <c r="X36" s="14"/>
      <c r="Y36" s="14"/>
      <c r="Z36" s="40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124"/>
      <c r="AL36" s="8"/>
    </row>
    <row r="37" spans="1:38" ht="21" customHeight="1" x14ac:dyDescent="0.15">
      <c r="A37" s="13"/>
      <c r="B37" s="1943"/>
      <c r="C37" s="586"/>
      <c r="D37" s="588"/>
      <c r="E37" s="2396" t="s">
        <v>422</v>
      </c>
      <c r="F37" s="2403" t="s">
        <v>430</v>
      </c>
      <c r="G37" s="2403"/>
      <c r="H37" s="1922" t="s">
        <v>464</v>
      </c>
      <c r="I37" s="1922">
        <v>5.2</v>
      </c>
      <c r="J37" s="2392">
        <v>2</v>
      </c>
      <c r="K37" s="14"/>
      <c r="Q37" s="14"/>
      <c r="R37" s="14"/>
      <c r="S37" s="14"/>
      <c r="T37" s="40"/>
      <c r="U37" s="14"/>
      <c r="V37" s="14"/>
      <c r="W37" s="14"/>
      <c r="X37" s="14"/>
      <c r="Y37" s="14"/>
      <c r="Z37" s="40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125"/>
      <c r="AL37" s="8"/>
    </row>
    <row r="38" spans="1:38" ht="21" customHeight="1" x14ac:dyDescent="0.15">
      <c r="A38" s="13"/>
      <c r="B38" s="1943"/>
      <c r="C38" s="586"/>
      <c r="D38" s="588"/>
      <c r="E38" s="2396" t="s">
        <v>380</v>
      </c>
      <c r="F38" s="2403" t="s">
        <v>435</v>
      </c>
      <c r="G38" s="2403"/>
      <c r="H38" s="1922" t="s">
        <v>146</v>
      </c>
      <c r="I38" s="1922">
        <v>5.6</v>
      </c>
      <c r="J38" s="2392">
        <v>3</v>
      </c>
      <c r="K38" s="14"/>
      <c r="Q38" s="14"/>
      <c r="R38" s="14"/>
      <c r="S38" s="14"/>
      <c r="T38" s="40"/>
      <c r="U38" s="14"/>
      <c r="V38" s="14"/>
      <c r="W38" s="14"/>
      <c r="X38" s="14"/>
      <c r="Y38" s="14"/>
      <c r="Z38" s="40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125"/>
      <c r="AL38" s="8"/>
    </row>
    <row r="39" spans="1:38" ht="21" customHeight="1" x14ac:dyDescent="0.15">
      <c r="A39" s="13"/>
      <c r="B39" s="1943"/>
      <c r="C39" s="586"/>
      <c r="D39" s="588"/>
      <c r="E39" s="2396" t="s">
        <v>379</v>
      </c>
      <c r="F39" s="2403" t="s">
        <v>14</v>
      </c>
      <c r="G39" s="2403"/>
      <c r="H39" s="2395" t="s">
        <v>181</v>
      </c>
      <c r="I39" s="2388">
        <v>6.2</v>
      </c>
      <c r="J39" s="2392">
        <v>4</v>
      </c>
      <c r="K39" s="14"/>
      <c r="Q39" s="14"/>
      <c r="R39" s="14"/>
      <c r="S39" s="14"/>
      <c r="T39" s="40"/>
      <c r="U39" s="14"/>
      <c r="V39" s="14"/>
      <c r="W39" s="14"/>
      <c r="X39" s="14"/>
      <c r="Y39" s="14"/>
      <c r="Z39" s="40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125"/>
      <c r="AL39" s="8"/>
    </row>
    <row r="40" spans="1:38" ht="21" customHeight="1" x14ac:dyDescent="0.15">
      <c r="A40" s="13"/>
      <c r="B40" s="1943"/>
      <c r="C40" s="586"/>
      <c r="D40" s="588"/>
      <c r="E40" s="2396" t="s">
        <v>381</v>
      </c>
      <c r="F40" s="2404" t="s">
        <v>9</v>
      </c>
      <c r="G40" s="2404"/>
      <c r="H40" s="1922" t="s">
        <v>13</v>
      </c>
      <c r="I40" s="1922">
        <v>6.3</v>
      </c>
      <c r="J40" s="2392">
        <v>5</v>
      </c>
      <c r="K40" s="14"/>
      <c r="Q40" s="14"/>
      <c r="R40" s="14"/>
      <c r="S40" s="14"/>
      <c r="T40" s="40"/>
      <c r="U40" s="14"/>
      <c r="V40" s="14"/>
      <c r="W40" s="14"/>
      <c r="X40" s="14"/>
      <c r="Y40" s="14"/>
      <c r="Z40" s="40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125"/>
      <c r="AL40" s="8"/>
    </row>
    <row r="41" spans="1:38" ht="21" customHeight="1" x14ac:dyDescent="0.15">
      <c r="A41" s="13"/>
      <c r="B41" s="1943"/>
      <c r="C41" s="586"/>
      <c r="D41" s="588"/>
      <c r="E41" s="2397" t="s">
        <v>423</v>
      </c>
      <c r="F41" s="2411" t="s">
        <v>461</v>
      </c>
      <c r="G41" s="2411"/>
      <c r="H41" s="2398" t="s">
        <v>445</v>
      </c>
      <c r="I41" s="2399">
        <v>7</v>
      </c>
      <c r="J41" s="2400">
        <v>6</v>
      </c>
      <c r="K41" s="14"/>
      <c r="L41" s="14"/>
      <c r="M41" s="14"/>
      <c r="N41" s="14"/>
      <c r="O41" s="14"/>
      <c r="P41" s="14"/>
      <c r="Q41" s="14"/>
      <c r="R41" s="14"/>
      <c r="S41" s="14"/>
      <c r="T41" s="40"/>
      <c r="U41" s="14"/>
      <c r="V41" s="14"/>
      <c r="W41" s="14"/>
      <c r="X41" s="14"/>
      <c r="Y41" s="14"/>
      <c r="Z41" s="40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125"/>
      <c r="AL41" s="8"/>
    </row>
    <row r="42" spans="1:38" ht="21" customHeight="1" x14ac:dyDescent="0.15">
      <c r="A42" s="13"/>
      <c r="B42" s="1943"/>
      <c r="C42" s="586"/>
      <c r="D42" s="588"/>
      <c r="E42"/>
      <c r="F42"/>
      <c r="G42"/>
      <c r="H42"/>
      <c r="I42"/>
      <c r="J42"/>
      <c r="K42" s="14"/>
      <c r="L42" s="14"/>
      <c r="M42" s="14"/>
      <c r="N42" s="14"/>
      <c r="O42" s="14"/>
      <c r="P42" s="14"/>
      <c r="Q42" s="14"/>
      <c r="R42" s="14"/>
      <c r="S42" s="14"/>
      <c r="T42" s="40"/>
      <c r="U42" s="14"/>
      <c r="V42" s="14"/>
      <c r="W42" s="14"/>
      <c r="X42" s="14"/>
      <c r="Y42" s="14"/>
      <c r="Z42" s="40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125"/>
      <c r="AL42" s="8"/>
    </row>
    <row r="43" spans="1:38" ht="21" customHeight="1" x14ac:dyDescent="0.15">
      <c r="A43" s="13"/>
      <c r="B43" s="1943"/>
      <c r="C43" s="586"/>
      <c r="D43" s="588"/>
      <c r="K43" s="14"/>
      <c r="L43" s="14"/>
      <c r="M43" s="14"/>
      <c r="N43" s="14"/>
      <c r="O43" s="14"/>
      <c r="P43" s="14"/>
      <c r="Q43" s="14"/>
      <c r="R43" s="14"/>
      <c r="S43" s="14"/>
      <c r="T43" s="40"/>
      <c r="U43" s="14"/>
      <c r="V43" s="14"/>
      <c r="W43" s="14"/>
      <c r="X43" s="14"/>
      <c r="Y43" s="14"/>
      <c r="Z43" s="40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40"/>
      <c r="AL43" s="8"/>
    </row>
    <row r="44" spans="1:38" s="1910" customFormat="1" ht="21" customHeight="1" x14ac:dyDescent="0.15">
      <c r="A44" s="13"/>
      <c r="B44" s="1943"/>
      <c r="C44" s="586"/>
      <c r="D44" s="588"/>
      <c r="T44" s="40"/>
      <c r="Z44" s="40"/>
      <c r="AK44" s="40"/>
      <c r="AL44" s="8"/>
    </row>
    <row r="45" spans="1:38" s="1910" customFormat="1" ht="13" customHeight="1" x14ac:dyDescent="0.15">
      <c r="A45" s="1194"/>
      <c r="B45" s="1194"/>
      <c r="C45" s="1194"/>
      <c r="D45" s="1194"/>
      <c r="K45" s="1194"/>
      <c r="L45" s="1194"/>
      <c r="M45" s="1194"/>
      <c r="N45" s="1194"/>
      <c r="O45" s="1194"/>
      <c r="P45" s="1194"/>
      <c r="Q45" s="1194"/>
      <c r="R45" s="1194"/>
      <c r="S45" s="1194"/>
      <c r="T45" s="1194"/>
      <c r="U45" s="1194"/>
      <c r="V45" s="1194"/>
      <c r="W45" s="1194"/>
      <c r="X45" s="1194"/>
      <c r="Y45" s="1194"/>
      <c r="Z45" s="1194"/>
      <c r="AA45" s="1194"/>
      <c r="AB45" s="1194"/>
      <c r="AC45" s="1194"/>
      <c r="AD45" s="1194"/>
      <c r="AE45" s="1194"/>
      <c r="AF45" s="1194"/>
      <c r="AG45" s="1194"/>
      <c r="AH45" s="1194"/>
      <c r="AI45" s="1194"/>
      <c r="AJ45" s="1194"/>
      <c r="AK45" s="1194"/>
      <c r="AL45" s="1194"/>
    </row>
  </sheetData>
  <sortState ref="H37:J42">
    <sortCondition ref="I37:I42"/>
  </sortState>
  <mergeCells count="47">
    <mergeCell ref="C2:E2"/>
    <mergeCell ref="B2:B4"/>
    <mergeCell ref="I6:K6"/>
    <mergeCell ref="F6:H6"/>
    <mergeCell ref="C6:E6"/>
    <mergeCell ref="I5:K5"/>
    <mergeCell ref="C5:E5"/>
    <mergeCell ref="W7:Y7"/>
    <mergeCell ref="I8:K8"/>
    <mergeCell ref="F8:H8"/>
    <mergeCell ref="C8:E8"/>
    <mergeCell ref="B8:B10"/>
    <mergeCell ref="L2:N2"/>
    <mergeCell ref="F26:G26"/>
    <mergeCell ref="F25:G25"/>
    <mergeCell ref="I12:K12"/>
    <mergeCell ref="F24:G24"/>
    <mergeCell ref="L6:N6"/>
    <mergeCell ref="F23:G23"/>
    <mergeCell ref="F22:G22"/>
    <mergeCell ref="L12:N12"/>
    <mergeCell ref="I2:K2"/>
    <mergeCell ref="F2:H2"/>
    <mergeCell ref="L19:M19"/>
    <mergeCell ref="C12:E12"/>
    <mergeCell ref="L5:N5"/>
    <mergeCell ref="F29:G29"/>
    <mergeCell ref="F5:H5"/>
    <mergeCell ref="B21:P21"/>
    <mergeCell ref="B14:B16"/>
    <mergeCell ref="C11:E11"/>
    <mergeCell ref="F28:G28"/>
    <mergeCell ref="L8:N8"/>
    <mergeCell ref="B22:C22"/>
    <mergeCell ref="B25:C25"/>
    <mergeCell ref="F12:H12"/>
    <mergeCell ref="L11:N11"/>
    <mergeCell ref="F11:H11"/>
    <mergeCell ref="I11:K11"/>
    <mergeCell ref="H19:I19"/>
    <mergeCell ref="E34:J34"/>
    <mergeCell ref="F31:G31"/>
    <mergeCell ref="B26:C26"/>
    <mergeCell ref="B23:C23"/>
    <mergeCell ref="D19:E19"/>
    <mergeCell ref="F32:G32"/>
    <mergeCell ref="F30:G30"/>
  </mergeCells>
  <pageMargins left="0.74791700000000005" right="0.74791700000000005" top="0.98402800000000001" bottom="0.98402800000000001" header="0.51180599999999998" footer="0.51180599999999998"/>
  <pageSetup orientation="portrait"/>
  <headerFooter>
    <oddFooter>&amp;C&amp;"Helvetica Neue,Regular"&amp;12&amp;K000000&amp;P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5"/>
  <sheetViews>
    <sheetView showGridLines="0" workbookViewId="0"/>
  </sheetViews>
  <sheetFormatPr baseColWidth="10" defaultColWidth="8.83203125" defaultRowHeight="13" customHeight="1" x14ac:dyDescent="0.15"/>
  <cols>
    <col min="1" max="3" width="10.6640625" style="1151" customWidth="1"/>
    <col min="4" max="4" width="9.33203125" style="1151" customWidth="1"/>
    <col min="5" max="5" width="12.1640625" style="1151" customWidth="1"/>
    <col min="6" max="6" width="11" style="1151" customWidth="1"/>
    <col min="7" max="7" width="18.33203125" style="1151" customWidth="1"/>
    <col min="8" max="8" width="12.1640625" style="1151" customWidth="1"/>
    <col min="9" max="9" width="11.1640625" style="1151" customWidth="1"/>
    <col min="10" max="10" width="13.33203125" style="1151" customWidth="1"/>
    <col min="11" max="11" width="12.1640625" style="1151" customWidth="1"/>
    <col min="12" max="12" width="14" style="1151" customWidth="1"/>
    <col min="13" max="13" width="9.1640625" style="1151" customWidth="1"/>
    <col min="14" max="14" width="18.33203125" style="1151" customWidth="1"/>
    <col min="15" max="25" width="10.6640625" style="1151" customWidth="1"/>
    <col min="26" max="256" width="8.83203125" customWidth="1"/>
  </cols>
  <sheetData>
    <row r="1" spans="1:25" ht="13.75" customHeight="1" x14ac:dyDescent="0.15">
      <c r="A1" s="2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"/>
    </row>
    <row r="2" spans="1:25" ht="13.75" customHeight="1" x14ac:dyDescent="0.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8"/>
    </row>
    <row r="3" spans="1:25" ht="33" customHeight="1" x14ac:dyDescent="0.15">
      <c r="A3" s="13"/>
      <c r="B3" s="1127" t="s">
        <v>331</v>
      </c>
      <c r="C3" s="30" t="s">
        <v>9</v>
      </c>
      <c r="D3" s="31" t="s">
        <v>10</v>
      </c>
      <c r="E3" s="32" t="s">
        <v>11</v>
      </c>
      <c r="F3" s="814" t="s">
        <v>12</v>
      </c>
      <c r="G3" s="34" t="s">
        <v>13</v>
      </c>
      <c r="H3" s="909" t="s">
        <v>14</v>
      </c>
      <c r="I3" s="815" t="s">
        <v>15</v>
      </c>
      <c r="J3" s="37" t="s">
        <v>16</v>
      </c>
      <c r="K3" s="38" t="s">
        <v>17</v>
      </c>
      <c r="L3" s="39" t="s">
        <v>18</v>
      </c>
      <c r="M3" s="1127" t="s">
        <v>331</v>
      </c>
      <c r="N3" s="1128" t="s">
        <v>332</v>
      </c>
      <c r="O3" s="14"/>
      <c r="P3" s="14"/>
      <c r="Q3" s="1152" t="s">
        <v>39</v>
      </c>
      <c r="R3" s="1152" t="s">
        <v>334</v>
      </c>
      <c r="S3" s="1152" t="s">
        <v>335</v>
      </c>
      <c r="T3" s="23"/>
      <c r="U3" s="14"/>
      <c r="V3" s="1152" t="s">
        <v>336</v>
      </c>
      <c r="W3" s="1152" t="s">
        <v>337</v>
      </c>
      <c r="X3" s="1152" t="s">
        <v>338</v>
      </c>
      <c r="Y3" s="1153" t="s">
        <v>335</v>
      </c>
    </row>
    <row r="4" spans="1:25" ht="21" customHeight="1" x14ac:dyDescent="0.15">
      <c r="A4" s="13"/>
      <c r="B4" s="1129">
        <v>10</v>
      </c>
      <c r="C4" s="1154"/>
      <c r="D4" s="1155"/>
      <c r="E4" s="1156"/>
      <c r="F4" s="1157"/>
      <c r="G4" s="1158"/>
      <c r="H4" s="1159"/>
      <c r="I4" s="1160"/>
      <c r="J4" s="1161"/>
      <c r="K4" s="1162"/>
      <c r="L4" s="1163"/>
      <c r="M4" s="1129">
        <v>10</v>
      </c>
      <c r="N4" s="1164"/>
      <c r="O4" s="14"/>
      <c r="P4" s="14"/>
      <c r="Q4" s="1165" t="s">
        <v>9</v>
      </c>
      <c r="R4" s="724">
        <v>5.3</v>
      </c>
      <c r="S4" s="724">
        <f t="shared" ref="S4:S12" si="0">R4*2</f>
        <v>10.6</v>
      </c>
      <c r="T4" s="588"/>
      <c r="U4" s="14"/>
      <c r="V4" s="1165" t="s">
        <v>9</v>
      </c>
      <c r="W4" s="724">
        <v>-5.3</v>
      </c>
      <c r="X4" s="724">
        <v>5.3</v>
      </c>
      <c r="Y4" s="1166">
        <f t="shared" ref="Y4:Y12" si="1">W4+X4</f>
        <v>0</v>
      </c>
    </row>
    <row r="5" spans="1:25" ht="21" customHeight="1" x14ac:dyDescent="0.15">
      <c r="A5" s="13"/>
      <c r="B5" s="1132">
        <v>9.9</v>
      </c>
      <c r="C5" s="588"/>
      <c r="D5" s="541"/>
      <c r="E5" s="512"/>
      <c r="F5" s="1167"/>
      <c r="G5" s="22"/>
      <c r="H5" s="1168"/>
      <c r="I5" s="407"/>
      <c r="J5" s="631"/>
      <c r="K5" s="1169"/>
      <c r="L5" s="1170"/>
      <c r="M5" s="1132">
        <v>9.9</v>
      </c>
      <c r="N5" s="1171"/>
      <c r="O5" s="14"/>
      <c r="P5" s="14"/>
      <c r="Q5" s="97" t="s">
        <v>10</v>
      </c>
      <c r="R5" s="1172">
        <v>7</v>
      </c>
      <c r="S5" s="1172">
        <f t="shared" si="0"/>
        <v>14</v>
      </c>
      <c r="T5" s="1173"/>
      <c r="U5" s="14"/>
      <c r="V5" s="97" t="s">
        <v>10</v>
      </c>
      <c r="W5" s="1172">
        <v>-3.9670000000000001</v>
      </c>
      <c r="X5" s="1172">
        <v>3.75</v>
      </c>
      <c r="Y5" s="1174">
        <f t="shared" si="1"/>
        <v>-0.21700000000000008</v>
      </c>
    </row>
    <row r="6" spans="1:25" ht="21" customHeight="1" x14ac:dyDescent="0.15">
      <c r="A6" s="13"/>
      <c r="B6" s="1132">
        <v>9.8000000000000007</v>
      </c>
      <c r="C6" s="588"/>
      <c r="D6" s="541"/>
      <c r="E6" s="1175"/>
      <c r="F6" s="1167"/>
      <c r="G6" s="22"/>
      <c r="H6" s="1168"/>
      <c r="I6" s="1176"/>
      <c r="J6" s="631"/>
      <c r="K6" s="1169"/>
      <c r="L6" s="1170"/>
      <c r="M6" s="1132">
        <v>9.8000000000000007</v>
      </c>
      <c r="N6" s="1171"/>
      <c r="O6" s="14"/>
      <c r="P6" s="14"/>
      <c r="Q6" s="99" t="s">
        <v>11</v>
      </c>
      <c r="R6" s="1177">
        <v>3.52</v>
      </c>
      <c r="S6" s="1177">
        <f t="shared" si="0"/>
        <v>7.04</v>
      </c>
      <c r="T6" s="21"/>
      <c r="U6" s="14"/>
      <c r="V6" s="99" t="s">
        <v>11</v>
      </c>
      <c r="W6" s="1177">
        <v>-8.7330000000000005</v>
      </c>
      <c r="X6" s="1177">
        <v>8.8170000000000002</v>
      </c>
      <c r="Y6" s="1178">
        <f t="shared" si="1"/>
        <v>8.3999999999999631E-2</v>
      </c>
    </row>
    <row r="7" spans="1:25" ht="21" customHeight="1" x14ac:dyDescent="0.15">
      <c r="A7" s="13"/>
      <c r="B7" s="1132">
        <v>9.6999999999999993</v>
      </c>
      <c r="C7" s="588"/>
      <c r="D7" s="541"/>
      <c r="E7" s="512"/>
      <c r="F7" s="1167"/>
      <c r="G7" s="22"/>
      <c r="H7" s="1168"/>
      <c r="I7" s="407"/>
      <c r="J7" s="631"/>
      <c r="K7" s="1169"/>
      <c r="L7" s="1170"/>
      <c r="M7" s="1132">
        <v>9.6999999999999993</v>
      </c>
      <c r="N7" s="1171"/>
      <c r="O7" s="14"/>
      <c r="P7" s="14"/>
      <c r="Q7" s="104" t="s">
        <v>13</v>
      </c>
      <c r="R7" s="737">
        <v>1.7330000000000001</v>
      </c>
      <c r="S7" s="737">
        <f t="shared" si="0"/>
        <v>3.4660000000000002</v>
      </c>
      <c r="T7" s="22"/>
      <c r="U7" s="14"/>
      <c r="V7" s="104" t="s">
        <v>13</v>
      </c>
      <c r="W7" s="737">
        <v>-6.867</v>
      </c>
      <c r="X7" s="737">
        <v>4.5670000000000002</v>
      </c>
      <c r="Y7" s="1179">
        <f t="shared" si="1"/>
        <v>-2.2999999999999998</v>
      </c>
    </row>
    <row r="8" spans="1:25" ht="21" customHeight="1" x14ac:dyDescent="0.15">
      <c r="A8" s="13"/>
      <c r="B8" s="1132">
        <v>9.6</v>
      </c>
      <c r="C8" s="588"/>
      <c r="D8" s="541"/>
      <c r="E8" s="1175"/>
      <c r="F8" s="1167"/>
      <c r="G8" s="22"/>
      <c r="H8" s="1168"/>
      <c r="I8" s="1176"/>
      <c r="J8" s="631"/>
      <c r="K8" s="1169"/>
      <c r="L8" s="1170"/>
      <c r="M8" s="1132">
        <v>9.6</v>
      </c>
      <c r="N8" s="1171"/>
      <c r="O8" s="14"/>
      <c r="P8" s="14"/>
      <c r="Q8" s="1180" t="s">
        <v>14</v>
      </c>
      <c r="R8" s="516">
        <v>1.2330000000000001</v>
      </c>
      <c r="S8" s="516">
        <f t="shared" si="0"/>
        <v>2.4660000000000002</v>
      </c>
      <c r="T8" s="1181"/>
      <c r="U8" s="14"/>
      <c r="V8" s="1180" t="s">
        <v>14</v>
      </c>
      <c r="W8" s="516">
        <v>-1.667</v>
      </c>
      <c r="X8" s="516">
        <v>1.617</v>
      </c>
      <c r="Y8" s="1182">
        <f t="shared" si="1"/>
        <v>-5.0000000000000044E-2</v>
      </c>
    </row>
    <row r="9" spans="1:25" ht="21" customHeight="1" x14ac:dyDescent="0.15">
      <c r="A9" s="13"/>
      <c r="B9" s="1132">
        <v>9.5</v>
      </c>
      <c r="C9" s="588"/>
      <c r="D9" s="541"/>
      <c r="E9" s="512"/>
      <c r="F9" s="1167"/>
      <c r="G9" s="22"/>
      <c r="H9" s="1168"/>
      <c r="I9" s="407"/>
      <c r="J9" s="631"/>
      <c r="K9" s="1169"/>
      <c r="L9" s="1170"/>
      <c r="M9" s="1132">
        <v>9.5</v>
      </c>
      <c r="N9" s="1171"/>
      <c r="O9" s="14"/>
      <c r="P9" s="14"/>
      <c r="Q9" s="1183" t="s">
        <v>15</v>
      </c>
      <c r="R9" s="1184">
        <v>2.5</v>
      </c>
      <c r="S9" s="1184">
        <f t="shared" si="0"/>
        <v>5</v>
      </c>
      <c r="T9" s="1185"/>
      <c r="U9" s="14"/>
      <c r="V9" s="1183" t="s">
        <v>15</v>
      </c>
      <c r="W9" s="1184">
        <v>-2.8170000000000002</v>
      </c>
      <c r="X9" s="1184">
        <v>2.8</v>
      </c>
      <c r="Y9" s="1186">
        <f t="shared" si="1"/>
        <v>-1.7000000000000348E-2</v>
      </c>
    </row>
    <row r="10" spans="1:25" ht="21" customHeight="1" x14ac:dyDescent="0.15">
      <c r="A10" s="13"/>
      <c r="B10" s="1132">
        <v>9.4</v>
      </c>
      <c r="C10" s="588"/>
      <c r="D10" s="541"/>
      <c r="E10" s="1175"/>
      <c r="F10" s="1167"/>
      <c r="G10" s="22"/>
      <c r="H10" s="1168"/>
      <c r="I10" s="1176"/>
      <c r="J10" s="631"/>
      <c r="K10" s="1169"/>
      <c r="L10" s="1170"/>
      <c r="M10" s="1132">
        <v>9.4</v>
      </c>
      <c r="N10" s="1171"/>
      <c r="O10" s="14"/>
      <c r="P10" s="14"/>
      <c r="Q10" s="1187" t="s">
        <v>16</v>
      </c>
      <c r="R10" s="529">
        <v>0.73299999999999998</v>
      </c>
      <c r="S10" s="529">
        <f t="shared" si="0"/>
        <v>1.466</v>
      </c>
      <c r="T10" s="631"/>
      <c r="U10" s="14"/>
      <c r="V10" s="1187" t="s">
        <v>16</v>
      </c>
      <c r="W10" s="529">
        <v>-0.81699999999999995</v>
      </c>
      <c r="X10" s="529">
        <v>0.83299999999999996</v>
      </c>
      <c r="Y10" s="1188">
        <f t="shared" si="1"/>
        <v>1.6000000000000014E-2</v>
      </c>
    </row>
    <row r="11" spans="1:25" ht="21" customHeight="1" x14ac:dyDescent="0.15">
      <c r="A11" s="13"/>
      <c r="B11" s="1132">
        <v>9.3000000000000007</v>
      </c>
      <c r="C11" s="588"/>
      <c r="D11" s="541"/>
      <c r="E11" s="512"/>
      <c r="F11" s="1167"/>
      <c r="G11" s="22"/>
      <c r="H11" s="1168"/>
      <c r="I11" s="407"/>
      <c r="J11" s="631"/>
      <c r="K11" s="1169"/>
      <c r="L11" s="1170"/>
      <c r="M11" s="1132">
        <v>9.3000000000000007</v>
      </c>
      <c r="N11" s="1171"/>
      <c r="O11" s="14"/>
      <c r="P11" s="14"/>
      <c r="Q11" s="1189" t="s">
        <v>17</v>
      </c>
      <c r="R11" s="1133">
        <v>1.7330000000000001</v>
      </c>
      <c r="S11" s="1133">
        <f t="shared" si="0"/>
        <v>3.4660000000000002</v>
      </c>
      <c r="T11" s="1169"/>
      <c r="U11" s="14"/>
      <c r="V11" s="1189" t="s">
        <v>17</v>
      </c>
      <c r="W11" s="1133">
        <v>-1.867</v>
      </c>
      <c r="X11" s="1133">
        <v>1.867</v>
      </c>
      <c r="Y11" s="1190">
        <f t="shared" si="1"/>
        <v>0</v>
      </c>
    </row>
    <row r="12" spans="1:25" ht="21" customHeight="1" x14ac:dyDescent="0.15">
      <c r="A12" s="13"/>
      <c r="B12" s="1132">
        <v>9.1999999999999993</v>
      </c>
      <c r="C12" s="588"/>
      <c r="D12" s="541"/>
      <c r="E12" s="1175"/>
      <c r="F12" s="1167"/>
      <c r="G12" s="22"/>
      <c r="H12" s="1168"/>
      <c r="I12" s="1176"/>
      <c r="J12" s="631"/>
      <c r="K12" s="1169"/>
      <c r="L12" s="1170"/>
      <c r="M12" s="1132">
        <v>9.1999999999999993</v>
      </c>
      <c r="N12" s="1171"/>
      <c r="O12" s="14"/>
      <c r="P12" s="14"/>
      <c r="Q12" s="1191" t="s">
        <v>18</v>
      </c>
      <c r="R12" s="522">
        <v>17.05</v>
      </c>
      <c r="S12" s="522">
        <f t="shared" si="0"/>
        <v>34.1</v>
      </c>
      <c r="T12" s="618"/>
      <c r="U12" s="14"/>
      <c r="V12" s="1191" t="s">
        <v>18</v>
      </c>
      <c r="W12" s="522">
        <v>-17.05</v>
      </c>
      <c r="X12" s="522">
        <v>17.716999999999999</v>
      </c>
      <c r="Y12" s="1192">
        <f t="shared" si="1"/>
        <v>0.66699999999999804</v>
      </c>
    </row>
    <row r="13" spans="1:25" ht="14" customHeight="1" x14ac:dyDescent="0.15">
      <c r="A13" s="13"/>
      <c r="B13" s="1132">
        <v>9.1</v>
      </c>
      <c r="C13" s="588"/>
      <c r="D13" s="541"/>
      <c r="E13" s="512"/>
      <c r="F13" s="1167"/>
      <c r="G13" s="22"/>
      <c r="H13" s="1168"/>
      <c r="I13" s="407"/>
      <c r="J13" s="631"/>
      <c r="K13" s="1169"/>
      <c r="L13" s="1170"/>
      <c r="M13" s="1132">
        <v>9.1</v>
      </c>
      <c r="N13" s="1171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8"/>
    </row>
    <row r="14" spans="1:25" ht="16" customHeight="1" x14ac:dyDescent="0.15">
      <c r="A14" s="13"/>
      <c r="B14" s="1129">
        <v>9</v>
      </c>
      <c r="C14" s="1154"/>
      <c r="D14" s="1155"/>
      <c r="E14" s="1156"/>
      <c r="F14" s="1157"/>
      <c r="G14" s="1158"/>
      <c r="H14" s="1159"/>
      <c r="I14" s="1160"/>
      <c r="J14" s="1161"/>
      <c r="K14" s="1162"/>
      <c r="L14" s="1163"/>
      <c r="M14" s="1129">
        <v>9</v>
      </c>
      <c r="N14" s="116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8"/>
    </row>
    <row r="15" spans="1:25" ht="14" customHeight="1" x14ac:dyDescent="0.15">
      <c r="A15" s="13"/>
      <c r="B15" s="1132">
        <v>8.9</v>
      </c>
      <c r="C15" s="588"/>
      <c r="D15" s="541"/>
      <c r="E15" s="512"/>
      <c r="F15" s="1167"/>
      <c r="G15" s="22"/>
      <c r="H15" s="1168"/>
      <c r="I15" s="407"/>
      <c r="J15" s="631"/>
      <c r="K15" s="1169"/>
      <c r="L15" s="1170"/>
      <c r="M15" s="1132">
        <v>8.9</v>
      </c>
      <c r="N15" s="1171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8"/>
    </row>
    <row r="16" spans="1:25" ht="14" customHeight="1" x14ac:dyDescent="0.15">
      <c r="A16" s="13"/>
      <c r="B16" s="1132">
        <v>8.8000000000000007</v>
      </c>
      <c r="C16" s="588"/>
      <c r="D16" s="541"/>
      <c r="E16" s="1175"/>
      <c r="F16" s="1167"/>
      <c r="G16" s="22"/>
      <c r="H16" s="1168"/>
      <c r="I16" s="1176"/>
      <c r="J16" s="631"/>
      <c r="K16" s="1169"/>
      <c r="L16" s="1170"/>
      <c r="M16" s="1132">
        <v>8.8000000000000007</v>
      </c>
      <c r="N16" s="1171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8"/>
    </row>
    <row r="17" spans="1:25" ht="14" customHeight="1" x14ac:dyDescent="0.15">
      <c r="A17" s="13"/>
      <c r="B17" s="1132">
        <v>8.6999999999999993</v>
      </c>
      <c r="C17" s="588"/>
      <c r="D17" s="541"/>
      <c r="E17" s="512"/>
      <c r="F17" s="1167"/>
      <c r="G17" s="22"/>
      <c r="H17" s="1168"/>
      <c r="I17" s="407"/>
      <c r="J17" s="631"/>
      <c r="K17" s="1169"/>
      <c r="L17" s="1170"/>
      <c r="M17" s="1132">
        <v>8.6999999999999993</v>
      </c>
      <c r="N17" s="1171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8"/>
    </row>
    <row r="18" spans="1:25" ht="14" customHeight="1" x14ac:dyDescent="0.15">
      <c r="A18" s="13"/>
      <c r="B18" s="1132">
        <v>8.6</v>
      </c>
      <c r="C18" s="588"/>
      <c r="D18" s="541"/>
      <c r="E18" s="1175"/>
      <c r="F18" s="1167"/>
      <c r="G18" s="22"/>
      <c r="H18" s="1168"/>
      <c r="I18" s="1176"/>
      <c r="J18" s="631"/>
      <c r="K18" s="1169"/>
      <c r="L18" s="1170"/>
      <c r="M18" s="1132">
        <v>8.6</v>
      </c>
      <c r="N18" s="1171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8"/>
    </row>
    <row r="19" spans="1:25" ht="14" customHeight="1" x14ac:dyDescent="0.15">
      <c r="A19" s="13"/>
      <c r="B19" s="1132">
        <v>8.5</v>
      </c>
      <c r="C19" s="588"/>
      <c r="D19" s="541"/>
      <c r="E19" s="512"/>
      <c r="F19" s="1167"/>
      <c r="G19" s="22"/>
      <c r="H19" s="1168"/>
      <c r="I19" s="407"/>
      <c r="J19" s="631"/>
      <c r="K19" s="1169"/>
      <c r="L19" s="1170"/>
      <c r="M19" s="1132">
        <v>8.5</v>
      </c>
      <c r="N19" s="1171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8"/>
    </row>
    <row r="20" spans="1:25" ht="14" customHeight="1" x14ac:dyDescent="0.15">
      <c r="A20" s="13"/>
      <c r="B20" s="1132">
        <v>8.4</v>
      </c>
      <c r="C20" s="588"/>
      <c r="D20" s="541"/>
      <c r="E20" s="1175"/>
      <c r="F20" s="1167"/>
      <c r="G20" s="22"/>
      <c r="H20" s="1168"/>
      <c r="I20" s="1176"/>
      <c r="J20" s="631"/>
      <c r="K20" s="1169"/>
      <c r="L20" s="1170"/>
      <c r="M20" s="1132">
        <v>8.4</v>
      </c>
      <c r="N20" s="1171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8"/>
    </row>
    <row r="21" spans="1:25" ht="14" customHeight="1" x14ac:dyDescent="0.15">
      <c r="A21" s="13"/>
      <c r="B21" s="1132">
        <v>8.3000000000000007</v>
      </c>
      <c r="C21" s="588"/>
      <c r="D21" s="541"/>
      <c r="E21" s="512"/>
      <c r="F21" s="1167"/>
      <c r="G21" s="22"/>
      <c r="H21" s="1168"/>
      <c r="I21" s="407"/>
      <c r="J21" s="631"/>
      <c r="K21" s="1169"/>
      <c r="L21" s="1170"/>
      <c r="M21" s="1132">
        <v>8.3000000000000007</v>
      </c>
      <c r="N21" s="1171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8"/>
    </row>
    <row r="22" spans="1:25" ht="14" customHeight="1" x14ac:dyDescent="0.15">
      <c r="A22" s="13"/>
      <c r="B22" s="1132">
        <v>8.1999999999999993</v>
      </c>
      <c r="C22" s="588"/>
      <c r="D22" s="541"/>
      <c r="E22" s="1175"/>
      <c r="F22" s="1167"/>
      <c r="G22" s="22"/>
      <c r="H22" s="1168"/>
      <c r="I22" s="1176"/>
      <c r="J22" s="631"/>
      <c r="K22" s="1169"/>
      <c r="L22" s="1170"/>
      <c r="M22" s="1132">
        <v>8.1999999999999993</v>
      </c>
      <c r="N22" s="1171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8"/>
    </row>
    <row r="23" spans="1:25" ht="14" customHeight="1" x14ac:dyDescent="0.15">
      <c r="A23" s="13"/>
      <c r="B23" s="1132">
        <v>8.1</v>
      </c>
      <c r="C23" s="588"/>
      <c r="D23" s="541"/>
      <c r="E23" s="512"/>
      <c r="F23" s="1167"/>
      <c r="G23" s="22"/>
      <c r="H23" s="1168"/>
      <c r="I23" s="407"/>
      <c r="J23" s="631"/>
      <c r="K23" s="1169"/>
      <c r="L23" s="1170"/>
      <c r="M23" s="1132">
        <v>8.1</v>
      </c>
      <c r="N23" s="1171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8"/>
    </row>
    <row r="24" spans="1:25" ht="16" customHeight="1" x14ac:dyDescent="0.15">
      <c r="A24" s="13"/>
      <c r="B24" s="1129">
        <v>8</v>
      </c>
      <c r="C24" s="1154"/>
      <c r="D24" s="1155"/>
      <c r="E24" s="1156"/>
      <c r="F24" s="1157"/>
      <c r="G24" s="1158"/>
      <c r="H24" s="1159"/>
      <c r="I24" s="1160"/>
      <c r="J24" s="1161"/>
      <c r="K24" s="1162"/>
      <c r="L24" s="1163"/>
      <c r="M24" s="1129">
        <v>8</v>
      </c>
      <c r="N24" s="116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8"/>
    </row>
    <row r="25" spans="1:25" ht="14" customHeight="1" x14ac:dyDescent="0.15">
      <c r="A25" s="13"/>
      <c r="B25" s="1132">
        <v>7.9</v>
      </c>
      <c r="C25" s="588"/>
      <c r="D25" s="541"/>
      <c r="E25" s="512"/>
      <c r="F25" s="1167"/>
      <c r="G25" s="22"/>
      <c r="H25" s="1168"/>
      <c r="I25" s="407"/>
      <c r="J25" s="631"/>
      <c r="K25" s="1169"/>
      <c r="L25" s="1170"/>
      <c r="M25" s="1132">
        <v>7.9</v>
      </c>
      <c r="N25" s="1171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8"/>
    </row>
    <row r="26" spans="1:25" ht="14" customHeight="1" x14ac:dyDescent="0.15">
      <c r="A26" s="13"/>
      <c r="B26" s="1132">
        <v>7.8</v>
      </c>
      <c r="C26" s="588"/>
      <c r="D26" s="541"/>
      <c r="E26" s="1175"/>
      <c r="F26" s="1167"/>
      <c r="G26" s="22"/>
      <c r="H26" s="1168"/>
      <c r="I26" s="1176"/>
      <c r="J26" s="631"/>
      <c r="K26" s="1169"/>
      <c r="L26" s="1170"/>
      <c r="M26" s="1132">
        <v>7.8</v>
      </c>
      <c r="N26" s="1171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8"/>
    </row>
    <row r="27" spans="1:25" ht="14" customHeight="1" x14ac:dyDescent="0.15">
      <c r="A27" s="13"/>
      <c r="B27" s="1132">
        <v>7.7</v>
      </c>
      <c r="C27" s="588"/>
      <c r="D27" s="541"/>
      <c r="E27" s="512"/>
      <c r="F27" s="1167"/>
      <c r="G27" s="22"/>
      <c r="H27" s="1168"/>
      <c r="I27" s="407"/>
      <c r="J27" s="631"/>
      <c r="K27" s="1169"/>
      <c r="L27" s="1170"/>
      <c r="M27" s="1132">
        <v>7.7</v>
      </c>
      <c r="N27" s="1171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8"/>
    </row>
    <row r="28" spans="1:25" ht="14" customHeight="1" x14ac:dyDescent="0.15">
      <c r="A28" s="13"/>
      <c r="B28" s="1132">
        <v>7.6</v>
      </c>
      <c r="C28" s="588"/>
      <c r="D28" s="541"/>
      <c r="E28" s="1175"/>
      <c r="F28" s="1167"/>
      <c r="G28" s="22"/>
      <c r="H28" s="1168"/>
      <c r="I28" s="1176"/>
      <c r="J28" s="631"/>
      <c r="K28" s="1169"/>
      <c r="L28" s="1170"/>
      <c r="M28" s="1132">
        <v>7.6</v>
      </c>
      <c r="N28" s="1171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8"/>
    </row>
    <row r="29" spans="1:25" ht="14" customHeight="1" x14ac:dyDescent="0.15">
      <c r="A29" s="13"/>
      <c r="B29" s="1132">
        <v>7.5</v>
      </c>
      <c r="C29" s="588"/>
      <c r="D29" s="541"/>
      <c r="E29" s="512"/>
      <c r="F29" s="1167"/>
      <c r="G29" s="22"/>
      <c r="H29" s="1168"/>
      <c r="I29" s="407"/>
      <c r="J29" s="631"/>
      <c r="K29" s="1169"/>
      <c r="L29" s="1170"/>
      <c r="M29" s="1132">
        <v>7.5</v>
      </c>
      <c r="N29" s="1171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8"/>
    </row>
    <row r="30" spans="1:25" ht="14" customHeight="1" x14ac:dyDescent="0.15">
      <c r="A30" s="13"/>
      <c r="B30" s="1132">
        <v>7.4</v>
      </c>
      <c r="C30" s="588"/>
      <c r="D30" s="541"/>
      <c r="E30" s="1175"/>
      <c r="F30" s="1167"/>
      <c r="G30" s="22"/>
      <c r="H30" s="1168"/>
      <c r="I30" s="1176"/>
      <c r="J30" s="631"/>
      <c r="K30" s="1169"/>
      <c r="L30" s="1170"/>
      <c r="M30" s="1132">
        <v>7.4</v>
      </c>
      <c r="N30" s="1171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8"/>
    </row>
    <row r="31" spans="1:25" ht="14" customHeight="1" x14ac:dyDescent="0.15">
      <c r="A31" s="13"/>
      <c r="B31" s="1132">
        <v>7.3</v>
      </c>
      <c r="C31" s="588"/>
      <c r="D31" s="541"/>
      <c r="E31" s="512"/>
      <c r="F31" s="1167"/>
      <c r="G31" s="22"/>
      <c r="H31" s="1168"/>
      <c r="I31" s="407"/>
      <c r="J31" s="631"/>
      <c r="K31" s="1169"/>
      <c r="L31" s="1170"/>
      <c r="M31" s="1132">
        <v>7.3</v>
      </c>
      <c r="N31" s="1171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8"/>
    </row>
    <row r="32" spans="1:25" ht="14" customHeight="1" x14ac:dyDescent="0.15">
      <c r="A32" s="13"/>
      <c r="B32" s="1132">
        <v>7.2</v>
      </c>
      <c r="C32" s="588"/>
      <c r="D32" s="541"/>
      <c r="E32" s="1175"/>
      <c r="F32" s="1167"/>
      <c r="G32" s="22"/>
      <c r="H32" s="1168"/>
      <c r="I32" s="1176"/>
      <c r="J32" s="631"/>
      <c r="K32" s="1169"/>
      <c r="L32" s="1170"/>
      <c r="M32" s="1132">
        <v>7.2</v>
      </c>
      <c r="N32" s="1171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8"/>
    </row>
    <row r="33" spans="1:25" ht="14" customHeight="1" x14ac:dyDescent="0.15">
      <c r="A33" s="13"/>
      <c r="B33" s="1132">
        <v>7.1</v>
      </c>
      <c r="C33" s="588"/>
      <c r="D33" s="541"/>
      <c r="E33" s="512"/>
      <c r="F33" s="1167"/>
      <c r="G33" s="22"/>
      <c r="H33" s="1168"/>
      <c r="I33" s="407"/>
      <c r="J33" s="631"/>
      <c r="K33" s="1169"/>
      <c r="L33" s="1170"/>
      <c r="M33" s="1132">
        <v>7.1</v>
      </c>
      <c r="N33" s="1171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8"/>
    </row>
    <row r="34" spans="1:25" ht="16" customHeight="1" x14ac:dyDescent="0.15">
      <c r="A34" s="13"/>
      <c r="B34" s="1129">
        <v>7</v>
      </c>
      <c r="C34" s="1154"/>
      <c r="D34" s="1155"/>
      <c r="E34" s="1156"/>
      <c r="F34" s="1157"/>
      <c r="G34" s="1158"/>
      <c r="H34" s="1159"/>
      <c r="I34" s="1160"/>
      <c r="J34" s="1161"/>
      <c r="K34" s="1162"/>
      <c r="L34" s="1163"/>
      <c r="M34" s="1129">
        <v>7</v>
      </c>
      <c r="N34" s="116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8"/>
    </row>
    <row r="35" spans="1:25" ht="14" customHeight="1" x14ac:dyDescent="0.15">
      <c r="A35" s="13"/>
      <c r="B35" s="1132">
        <v>6.9</v>
      </c>
      <c r="C35" s="588"/>
      <c r="D35" s="541"/>
      <c r="E35" s="512"/>
      <c r="F35" s="1167"/>
      <c r="G35" s="22"/>
      <c r="H35" s="1168"/>
      <c r="I35" s="407"/>
      <c r="J35" s="631"/>
      <c r="K35" s="1169"/>
      <c r="L35" s="1170"/>
      <c r="M35" s="1132">
        <v>6.9</v>
      </c>
      <c r="N35" s="1171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8"/>
    </row>
    <row r="36" spans="1:25" ht="14" customHeight="1" x14ac:dyDescent="0.15">
      <c r="A36" s="13"/>
      <c r="B36" s="1132">
        <v>6.8</v>
      </c>
      <c r="C36" s="588"/>
      <c r="D36" s="541"/>
      <c r="E36" s="1175"/>
      <c r="F36" s="1167"/>
      <c r="G36" s="22"/>
      <c r="H36" s="1168"/>
      <c r="I36" s="1176"/>
      <c r="J36" s="631"/>
      <c r="K36" s="1169"/>
      <c r="L36" s="1170"/>
      <c r="M36" s="1132">
        <v>6.8</v>
      </c>
      <c r="N36" s="1171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8"/>
    </row>
    <row r="37" spans="1:25" ht="14" customHeight="1" x14ac:dyDescent="0.15">
      <c r="A37" s="13"/>
      <c r="B37" s="1132">
        <v>6.7</v>
      </c>
      <c r="C37" s="588"/>
      <c r="D37" s="541"/>
      <c r="E37" s="512"/>
      <c r="F37" s="1167"/>
      <c r="G37" s="22"/>
      <c r="H37" s="1168"/>
      <c r="I37" s="407"/>
      <c r="J37" s="631"/>
      <c r="K37" s="1169"/>
      <c r="L37" s="1170"/>
      <c r="M37" s="1132">
        <v>6.7</v>
      </c>
      <c r="N37" s="1171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8"/>
    </row>
    <row r="38" spans="1:25" ht="14" customHeight="1" x14ac:dyDescent="0.15">
      <c r="A38" s="13"/>
      <c r="B38" s="1132">
        <v>6.6</v>
      </c>
      <c r="C38" s="588"/>
      <c r="D38" s="541"/>
      <c r="E38" s="1175"/>
      <c r="F38" s="1167"/>
      <c r="G38" s="22"/>
      <c r="H38" s="1168"/>
      <c r="I38" s="1176"/>
      <c r="J38" s="631"/>
      <c r="K38" s="1169"/>
      <c r="L38" s="1170"/>
      <c r="M38" s="1132">
        <v>6.6</v>
      </c>
      <c r="N38" s="1171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8"/>
    </row>
    <row r="39" spans="1:25" ht="14" customHeight="1" x14ac:dyDescent="0.15">
      <c r="A39" s="13"/>
      <c r="B39" s="1132">
        <v>6.5</v>
      </c>
      <c r="C39" s="588"/>
      <c r="D39" s="541"/>
      <c r="E39" s="512"/>
      <c r="F39" s="1167"/>
      <c r="G39" s="22"/>
      <c r="H39" s="1168"/>
      <c r="I39" s="407"/>
      <c r="J39" s="631"/>
      <c r="K39" s="1169"/>
      <c r="L39" s="1170"/>
      <c r="M39" s="1132">
        <v>6.5</v>
      </c>
      <c r="N39" s="1171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8"/>
    </row>
    <row r="40" spans="1:25" ht="14" customHeight="1" x14ac:dyDescent="0.15">
      <c r="A40" s="13"/>
      <c r="B40" s="1132">
        <v>6.4</v>
      </c>
      <c r="C40" s="588"/>
      <c r="D40" s="541"/>
      <c r="E40" s="1175"/>
      <c r="F40" s="1167"/>
      <c r="G40" s="22"/>
      <c r="H40" s="1168"/>
      <c r="I40" s="1176"/>
      <c r="J40" s="631"/>
      <c r="K40" s="1169"/>
      <c r="L40" s="1170"/>
      <c r="M40" s="1132">
        <v>6.4</v>
      </c>
      <c r="N40" s="1171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8"/>
    </row>
    <row r="41" spans="1:25" ht="14" customHeight="1" x14ac:dyDescent="0.15">
      <c r="A41" s="13"/>
      <c r="B41" s="1132">
        <v>6.3</v>
      </c>
      <c r="C41" s="588"/>
      <c r="D41" s="541"/>
      <c r="E41" s="512"/>
      <c r="F41" s="1167"/>
      <c r="G41" s="22"/>
      <c r="H41" s="1168"/>
      <c r="I41" s="407"/>
      <c r="J41" s="631"/>
      <c r="K41" s="1169"/>
      <c r="L41" s="1170"/>
      <c r="M41" s="1132">
        <v>6.3</v>
      </c>
      <c r="N41" s="1171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8"/>
    </row>
    <row r="42" spans="1:25" ht="14" customHeight="1" x14ac:dyDescent="0.15">
      <c r="A42" s="13"/>
      <c r="B42" s="1132">
        <v>6.2</v>
      </c>
      <c r="C42" s="588"/>
      <c r="D42" s="541"/>
      <c r="E42" s="1175"/>
      <c r="F42" s="1167"/>
      <c r="G42" s="22"/>
      <c r="H42" s="1168"/>
      <c r="I42" s="1176"/>
      <c r="J42" s="631"/>
      <c r="K42" s="1169"/>
      <c r="L42" s="1170"/>
      <c r="M42" s="1132">
        <v>6.2</v>
      </c>
      <c r="N42" s="1171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8"/>
    </row>
    <row r="43" spans="1:25" ht="14" customHeight="1" x14ac:dyDescent="0.15">
      <c r="A43" s="13"/>
      <c r="B43" s="1132">
        <v>6.1</v>
      </c>
      <c r="C43" s="588"/>
      <c r="D43" s="541"/>
      <c r="E43" s="512"/>
      <c r="F43" s="1167"/>
      <c r="G43" s="22"/>
      <c r="H43" s="1168"/>
      <c r="I43" s="407"/>
      <c r="J43" s="631"/>
      <c r="K43" s="1169"/>
      <c r="L43" s="1170"/>
      <c r="M43" s="1132">
        <v>6.1</v>
      </c>
      <c r="N43" s="1171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8"/>
    </row>
    <row r="44" spans="1:25" ht="16" customHeight="1" x14ac:dyDescent="0.15">
      <c r="A44" s="13"/>
      <c r="B44" s="1129">
        <v>6</v>
      </c>
      <c r="C44" s="1154"/>
      <c r="D44" s="1155"/>
      <c r="E44" s="1156"/>
      <c r="F44" s="1157"/>
      <c r="G44" s="1158"/>
      <c r="H44" s="1159"/>
      <c r="I44" s="1160"/>
      <c r="J44" s="1161"/>
      <c r="K44" s="1162"/>
      <c r="L44" s="1163"/>
      <c r="M44" s="1129">
        <v>6</v>
      </c>
      <c r="N44" s="116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8"/>
    </row>
    <row r="45" spans="1:25" ht="14" customHeight="1" x14ac:dyDescent="0.15">
      <c r="A45" s="13"/>
      <c r="B45" s="1132">
        <v>5.9</v>
      </c>
      <c r="C45" s="588"/>
      <c r="D45" s="541"/>
      <c r="E45" s="512"/>
      <c r="F45" s="1167"/>
      <c r="G45" s="22"/>
      <c r="H45" s="1168"/>
      <c r="I45" s="407"/>
      <c r="J45" s="631"/>
      <c r="K45" s="1169"/>
      <c r="L45" s="1170"/>
      <c r="M45" s="1132">
        <v>5.9</v>
      </c>
      <c r="N45" s="1171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8"/>
    </row>
    <row r="46" spans="1:25" ht="14" customHeight="1" x14ac:dyDescent="0.15">
      <c r="A46" s="13"/>
      <c r="B46" s="1132">
        <v>5.8</v>
      </c>
      <c r="C46" s="588"/>
      <c r="D46" s="541"/>
      <c r="E46" s="1175"/>
      <c r="F46" s="1167"/>
      <c r="G46" s="22"/>
      <c r="H46" s="1168"/>
      <c r="I46" s="1176"/>
      <c r="J46" s="631"/>
      <c r="K46" s="1169"/>
      <c r="L46" s="1170"/>
      <c r="M46" s="1132">
        <v>5.8</v>
      </c>
      <c r="N46" s="1171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8"/>
    </row>
    <row r="47" spans="1:25" ht="14" customHeight="1" x14ac:dyDescent="0.15">
      <c r="A47" s="13"/>
      <c r="B47" s="1132">
        <v>5.7</v>
      </c>
      <c r="C47" s="588"/>
      <c r="D47" s="541"/>
      <c r="E47" s="512"/>
      <c r="F47" s="1167"/>
      <c r="G47" s="22"/>
      <c r="H47" s="1168"/>
      <c r="I47" s="407"/>
      <c r="J47" s="631"/>
      <c r="K47" s="1169"/>
      <c r="L47" s="1170"/>
      <c r="M47" s="1132">
        <v>5.7</v>
      </c>
      <c r="N47" s="1171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8"/>
    </row>
    <row r="48" spans="1:25" ht="14" customHeight="1" x14ac:dyDescent="0.15">
      <c r="A48" s="13"/>
      <c r="B48" s="1132">
        <v>5.6</v>
      </c>
      <c r="C48" s="588"/>
      <c r="D48" s="541"/>
      <c r="E48" s="1175"/>
      <c r="F48" s="1167"/>
      <c r="G48" s="22"/>
      <c r="H48" s="1168"/>
      <c r="I48" s="1176"/>
      <c r="J48" s="631"/>
      <c r="K48" s="1169"/>
      <c r="L48" s="1170"/>
      <c r="M48" s="1132">
        <v>5.6</v>
      </c>
      <c r="N48" s="1171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8"/>
    </row>
    <row r="49" spans="1:25" ht="14" customHeight="1" x14ac:dyDescent="0.15">
      <c r="A49" s="13"/>
      <c r="B49" s="1132">
        <v>5.5</v>
      </c>
      <c r="C49" s="588"/>
      <c r="D49" s="541"/>
      <c r="E49" s="512"/>
      <c r="F49" s="1167"/>
      <c r="G49" s="22"/>
      <c r="H49" s="1168"/>
      <c r="I49" s="407"/>
      <c r="J49" s="631"/>
      <c r="K49" s="1169"/>
      <c r="L49" s="1170"/>
      <c r="M49" s="1132">
        <v>5.5</v>
      </c>
      <c r="N49" s="1171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8"/>
    </row>
    <row r="50" spans="1:25" ht="14" customHeight="1" x14ac:dyDescent="0.15">
      <c r="A50" s="13"/>
      <c r="B50" s="1132">
        <v>5.4</v>
      </c>
      <c r="C50" s="588"/>
      <c r="D50" s="541"/>
      <c r="E50" s="1175"/>
      <c r="F50" s="1167"/>
      <c r="G50" s="22"/>
      <c r="H50" s="1168"/>
      <c r="I50" s="1176"/>
      <c r="J50" s="631"/>
      <c r="K50" s="1169"/>
      <c r="L50" s="1170"/>
      <c r="M50" s="1132">
        <v>5.4</v>
      </c>
      <c r="N50" s="1171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8"/>
    </row>
    <row r="51" spans="1:25" ht="14" customHeight="1" x14ac:dyDescent="0.15">
      <c r="A51" s="13"/>
      <c r="B51" s="1132">
        <v>5.3</v>
      </c>
      <c r="C51" s="588"/>
      <c r="D51" s="541"/>
      <c r="E51" s="512"/>
      <c r="F51" s="1167"/>
      <c r="G51" s="22"/>
      <c r="H51" s="1168"/>
      <c r="I51" s="407"/>
      <c r="J51" s="631"/>
      <c r="K51" s="1169"/>
      <c r="L51" s="1170"/>
      <c r="M51" s="1132">
        <v>5.3</v>
      </c>
      <c r="N51" s="1171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8"/>
    </row>
    <row r="52" spans="1:25" ht="14" customHeight="1" x14ac:dyDescent="0.15">
      <c r="A52" s="13"/>
      <c r="B52" s="1132">
        <v>5.2</v>
      </c>
      <c r="C52" s="588"/>
      <c r="D52" s="541"/>
      <c r="E52" s="1175"/>
      <c r="F52" s="1167"/>
      <c r="G52" s="22"/>
      <c r="H52" s="1168"/>
      <c r="I52" s="1176"/>
      <c r="J52" s="631"/>
      <c r="K52" s="1169"/>
      <c r="L52" s="1170"/>
      <c r="M52" s="1132">
        <v>5.2</v>
      </c>
      <c r="N52" s="1171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8"/>
    </row>
    <row r="53" spans="1:25" ht="14" customHeight="1" x14ac:dyDescent="0.15">
      <c r="A53" s="13"/>
      <c r="B53" s="1132">
        <v>5.0999999999999996</v>
      </c>
      <c r="C53" s="588"/>
      <c r="D53" s="541"/>
      <c r="E53" s="512"/>
      <c r="F53" s="1167"/>
      <c r="G53" s="22"/>
      <c r="H53" s="1168"/>
      <c r="I53" s="407"/>
      <c r="J53" s="631"/>
      <c r="K53" s="1169"/>
      <c r="L53" s="1170"/>
      <c r="M53" s="1132">
        <v>5.0999999999999996</v>
      </c>
      <c r="N53" s="1171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8"/>
    </row>
    <row r="54" spans="1:25" ht="16" customHeight="1" x14ac:dyDescent="0.15">
      <c r="A54" s="13"/>
      <c r="B54" s="1129">
        <v>5</v>
      </c>
      <c r="C54" s="1154"/>
      <c r="D54" s="1155"/>
      <c r="E54" s="1156"/>
      <c r="F54" s="1157"/>
      <c r="G54" s="1158"/>
      <c r="H54" s="1159"/>
      <c r="I54" s="1160"/>
      <c r="J54" s="1161"/>
      <c r="K54" s="1162"/>
      <c r="L54" s="1163"/>
      <c r="M54" s="1129">
        <v>5</v>
      </c>
      <c r="N54" s="116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8"/>
    </row>
    <row r="55" spans="1:25" ht="14" customHeight="1" x14ac:dyDescent="0.15">
      <c r="A55" s="13"/>
      <c r="B55" s="1132">
        <v>4.9000000000000004</v>
      </c>
      <c r="C55" s="588"/>
      <c r="D55" s="541"/>
      <c r="E55" s="512"/>
      <c r="F55" s="1167"/>
      <c r="G55" s="22"/>
      <c r="H55" s="1168"/>
      <c r="I55" s="407"/>
      <c r="J55" s="631"/>
      <c r="K55" s="1169"/>
      <c r="L55" s="1170"/>
      <c r="M55" s="1132">
        <v>4.9000000000000004</v>
      </c>
      <c r="N55" s="1171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8"/>
    </row>
    <row r="56" spans="1:25" ht="14" customHeight="1" x14ac:dyDescent="0.15">
      <c r="A56" s="13"/>
      <c r="B56" s="1132">
        <v>4.8</v>
      </c>
      <c r="C56" s="588"/>
      <c r="D56" s="541"/>
      <c r="E56" s="1175"/>
      <c r="F56" s="1167"/>
      <c r="G56" s="22"/>
      <c r="H56" s="1168"/>
      <c r="I56" s="1176"/>
      <c r="J56" s="631"/>
      <c r="K56" s="1169"/>
      <c r="L56" s="1170"/>
      <c r="M56" s="1132">
        <v>4.8</v>
      </c>
      <c r="N56" s="1171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8"/>
    </row>
    <row r="57" spans="1:25" ht="14" customHeight="1" x14ac:dyDescent="0.15">
      <c r="A57" s="13"/>
      <c r="B57" s="1132">
        <v>4.7</v>
      </c>
      <c r="C57" s="588"/>
      <c r="D57" s="541"/>
      <c r="E57" s="512"/>
      <c r="F57" s="1167"/>
      <c r="G57" s="22"/>
      <c r="H57" s="1168"/>
      <c r="I57" s="407"/>
      <c r="J57" s="631"/>
      <c r="K57" s="1169"/>
      <c r="L57" s="1170"/>
      <c r="M57" s="1132">
        <v>4.7</v>
      </c>
      <c r="N57" s="1171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8"/>
    </row>
    <row r="58" spans="1:25" ht="14" customHeight="1" x14ac:dyDescent="0.15">
      <c r="A58" s="13"/>
      <c r="B58" s="1132">
        <v>4.5999999999999996</v>
      </c>
      <c r="C58" s="588"/>
      <c r="D58" s="541"/>
      <c r="E58" s="1175"/>
      <c r="F58" s="1167"/>
      <c r="G58" s="22"/>
      <c r="H58" s="1168"/>
      <c r="I58" s="1176"/>
      <c r="J58" s="631"/>
      <c r="K58" s="1169"/>
      <c r="L58" s="1170"/>
      <c r="M58" s="1132">
        <v>4.5999999999999996</v>
      </c>
      <c r="N58" s="1171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8"/>
    </row>
    <row r="59" spans="1:25" ht="14" customHeight="1" x14ac:dyDescent="0.15">
      <c r="A59" s="13"/>
      <c r="B59" s="1132">
        <v>4.5</v>
      </c>
      <c r="C59" s="588"/>
      <c r="D59" s="541"/>
      <c r="E59" s="512"/>
      <c r="F59" s="1167"/>
      <c r="G59" s="22"/>
      <c r="H59" s="1168"/>
      <c r="I59" s="407"/>
      <c r="J59" s="631"/>
      <c r="K59" s="1169"/>
      <c r="L59" s="1170"/>
      <c r="M59" s="1132">
        <v>4.5</v>
      </c>
      <c r="N59" s="1171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8"/>
    </row>
    <row r="60" spans="1:25" ht="14" customHeight="1" x14ac:dyDescent="0.15">
      <c r="A60" s="13"/>
      <c r="B60" s="1132">
        <v>4.4000000000000004</v>
      </c>
      <c r="C60" s="588"/>
      <c r="D60" s="541"/>
      <c r="E60" s="1175"/>
      <c r="F60" s="1167"/>
      <c r="G60" s="22"/>
      <c r="H60" s="1168"/>
      <c r="I60" s="1176"/>
      <c r="J60" s="631"/>
      <c r="K60" s="1169"/>
      <c r="L60" s="1170"/>
      <c r="M60" s="1132">
        <v>4.4000000000000004</v>
      </c>
      <c r="N60" s="1171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8"/>
    </row>
    <row r="61" spans="1:25" ht="14" customHeight="1" x14ac:dyDescent="0.15">
      <c r="A61" s="13"/>
      <c r="B61" s="1132">
        <v>4.3</v>
      </c>
      <c r="C61" s="588"/>
      <c r="D61" s="541"/>
      <c r="E61" s="512"/>
      <c r="F61" s="1167"/>
      <c r="G61" s="22"/>
      <c r="H61" s="1168"/>
      <c r="I61" s="407"/>
      <c r="J61" s="631"/>
      <c r="K61" s="1169"/>
      <c r="L61" s="1170"/>
      <c r="M61" s="1132">
        <v>4.3</v>
      </c>
      <c r="N61" s="1171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8"/>
    </row>
    <row r="62" spans="1:25" ht="14" customHeight="1" x14ac:dyDescent="0.15">
      <c r="A62" s="13"/>
      <c r="B62" s="1132">
        <v>4.2</v>
      </c>
      <c r="C62" s="588"/>
      <c r="D62" s="541"/>
      <c r="E62" s="1175"/>
      <c r="F62" s="1167"/>
      <c r="G62" s="22"/>
      <c r="H62" s="1168"/>
      <c r="I62" s="1176"/>
      <c r="J62" s="631"/>
      <c r="K62" s="1169"/>
      <c r="L62" s="1170"/>
      <c r="M62" s="1132">
        <v>4.2</v>
      </c>
      <c r="N62" s="1171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8"/>
    </row>
    <row r="63" spans="1:25" ht="14" customHeight="1" x14ac:dyDescent="0.15">
      <c r="A63" s="13"/>
      <c r="B63" s="1132">
        <v>4.0999999999999996</v>
      </c>
      <c r="C63" s="588"/>
      <c r="D63" s="541"/>
      <c r="E63" s="512"/>
      <c r="F63" s="1167"/>
      <c r="G63" s="22"/>
      <c r="H63" s="1168"/>
      <c r="I63" s="407"/>
      <c r="J63" s="631"/>
      <c r="K63" s="1169"/>
      <c r="L63" s="1170"/>
      <c r="M63" s="1132">
        <v>4.0999999999999996</v>
      </c>
      <c r="N63" s="1171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8"/>
    </row>
    <row r="64" spans="1:25" ht="16" customHeight="1" x14ac:dyDescent="0.15">
      <c r="A64" s="13"/>
      <c r="B64" s="1129">
        <v>4</v>
      </c>
      <c r="C64" s="1154"/>
      <c r="D64" s="1155"/>
      <c r="E64" s="1156"/>
      <c r="F64" s="1157"/>
      <c r="G64" s="1158"/>
      <c r="H64" s="1159"/>
      <c r="I64" s="1160"/>
      <c r="J64" s="1161"/>
      <c r="K64" s="1162"/>
      <c r="L64" s="1163"/>
      <c r="M64" s="1129">
        <v>4</v>
      </c>
      <c r="N64" s="116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8"/>
    </row>
    <row r="65" spans="1:25" ht="14" customHeight="1" x14ac:dyDescent="0.15">
      <c r="A65" s="13"/>
      <c r="B65" s="1132">
        <v>3.9</v>
      </c>
      <c r="C65" s="588"/>
      <c r="D65" s="541"/>
      <c r="E65" s="512"/>
      <c r="F65" s="1167"/>
      <c r="G65" s="22"/>
      <c r="H65" s="1168"/>
      <c r="I65" s="407"/>
      <c r="J65" s="631"/>
      <c r="K65" s="1169"/>
      <c r="L65" s="1170"/>
      <c r="M65" s="1132">
        <v>3.9</v>
      </c>
      <c r="N65" s="1171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8"/>
    </row>
    <row r="66" spans="1:25" ht="14" customHeight="1" x14ac:dyDescent="0.15">
      <c r="A66" s="13"/>
      <c r="B66" s="1132">
        <v>3.8</v>
      </c>
      <c r="C66" s="588"/>
      <c r="D66" s="541"/>
      <c r="E66" s="1175"/>
      <c r="F66" s="1167"/>
      <c r="G66" s="22"/>
      <c r="H66" s="1168"/>
      <c r="I66" s="1176"/>
      <c r="J66" s="631"/>
      <c r="K66" s="1169"/>
      <c r="L66" s="1170"/>
      <c r="M66" s="1132">
        <v>3.8</v>
      </c>
      <c r="N66" s="1171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8"/>
    </row>
    <row r="67" spans="1:25" ht="14" customHeight="1" x14ac:dyDescent="0.15">
      <c r="A67" s="13"/>
      <c r="B67" s="1132">
        <v>3.7</v>
      </c>
      <c r="C67" s="588"/>
      <c r="D67" s="541"/>
      <c r="E67" s="512"/>
      <c r="F67" s="1167"/>
      <c r="G67" s="22"/>
      <c r="H67" s="1168"/>
      <c r="I67" s="407"/>
      <c r="J67" s="631"/>
      <c r="K67" s="1169"/>
      <c r="L67" s="1170"/>
      <c r="M67" s="1132">
        <v>3.7</v>
      </c>
      <c r="N67" s="1171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8"/>
    </row>
    <row r="68" spans="1:25" ht="14" customHeight="1" x14ac:dyDescent="0.15">
      <c r="A68" s="13"/>
      <c r="B68" s="1132">
        <v>3.6</v>
      </c>
      <c r="C68" s="588"/>
      <c r="D68" s="541"/>
      <c r="E68" s="1175"/>
      <c r="F68" s="1167"/>
      <c r="G68" s="22"/>
      <c r="H68" s="1168"/>
      <c r="I68" s="1176"/>
      <c r="J68" s="631"/>
      <c r="K68" s="1169"/>
      <c r="L68" s="1170"/>
      <c r="M68" s="1132">
        <v>3.6</v>
      </c>
      <c r="N68" s="1171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8"/>
    </row>
    <row r="69" spans="1:25" ht="14" customHeight="1" x14ac:dyDescent="0.15">
      <c r="A69" s="13"/>
      <c r="B69" s="1132">
        <v>3.5</v>
      </c>
      <c r="C69" s="588"/>
      <c r="D69" s="541"/>
      <c r="E69" s="512"/>
      <c r="F69" s="1167"/>
      <c r="G69" s="22"/>
      <c r="H69" s="1168"/>
      <c r="I69" s="407"/>
      <c r="J69" s="631"/>
      <c r="K69" s="1169"/>
      <c r="L69" s="1170"/>
      <c r="M69" s="1132">
        <v>3.5</v>
      </c>
      <c r="N69" s="1171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8"/>
    </row>
    <row r="70" spans="1:25" ht="14" customHeight="1" x14ac:dyDescent="0.15">
      <c r="A70" s="13"/>
      <c r="B70" s="1132">
        <v>3.4</v>
      </c>
      <c r="C70" s="588"/>
      <c r="D70" s="541"/>
      <c r="E70" s="1175"/>
      <c r="F70" s="1167"/>
      <c r="G70" s="22"/>
      <c r="H70" s="1168"/>
      <c r="I70" s="1176"/>
      <c r="J70" s="631"/>
      <c r="K70" s="1169"/>
      <c r="L70" s="1170"/>
      <c r="M70" s="1132">
        <v>3.4</v>
      </c>
      <c r="N70" s="1171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8"/>
    </row>
    <row r="71" spans="1:25" ht="14" customHeight="1" x14ac:dyDescent="0.15">
      <c r="A71" s="13"/>
      <c r="B71" s="1132">
        <v>3.3</v>
      </c>
      <c r="C71" s="588"/>
      <c r="D71" s="541"/>
      <c r="E71" s="512"/>
      <c r="F71" s="1167"/>
      <c r="G71" s="22"/>
      <c r="H71" s="1168"/>
      <c r="I71" s="407"/>
      <c r="J71" s="631"/>
      <c r="K71" s="1169"/>
      <c r="L71" s="1170"/>
      <c r="M71" s="1132">
        <v>3.3</v>
      </c>
      <c r="N71" s="1171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8"/>
    </row>
    <row r="72" spans="1:25" ht="14" customHeight="1" x14ac:dyDescent="0.15">
      <c r="A72" s="13"/>
      <c r="B72" s="1132">
        <v>3.2</v>
      </c>
      <c r="C72" s="588"/>
      <c r="D72" s="541"/>
      <c r="E72" s="1175"/>
      <c r="F72" s="1167"/>
      <c r="G72" s="22"/>
      <c r="H72" s="1168"/>
      <c r="I72" s="1176"/>
      <c r="J72" s="631"/>
      <c r="K72" s="1169"/>
      <c r="L72" s="1170"/>
      <c r="M72" s="1132">
        <v>3.2</v>
      </c>
      <c r="N72" s="1171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8"/>
    </row>
    <row r="73" spans="1:25" ht="14" customHeight="1" x14ac:dyDescent="0.15">
      <c r="A73" s="13"/>
      <c r="B73" s="1132">
        <v>3.1</v>
      </c>
      <c r="C73" s="588"/>
      <c r="D73" s="541"/>
      <c r="E73" s="512"/>
      <c r="F73" s="1167"/>
      <c r="G73" s="22"/>
      <c r="H73" s="1168"/>
      <c r="I73" s="407"/>
      <c r="J73" s="631"/>
      <c r="K73" s="1169"/>
      <c r="L73" s="1170"/>
      <c r="M73" s="1132">
        <v>3.1</v>
      </c>
      <c r="N73" s="1171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8"/>
    </row>
    <row r="74" spans="1:25" ht="16" customHeight="1" x14ac:dyDescent="0.15">
      <c r="A74" s="13"/>
      <c r="B74" s="1129">
        <v>3</v>
      </c>
      <c r="C74" s="1154"/>
      <c r="D74" s="1155"/>
      <c r="E74" s="1156"/>
      <c r="F74" s="1157"/>
      <c r="G74" s="1158"/>
      <c r="H74" s="1159"/>
      <c r="I74" s="1160"/>
      <c r="J74" s="1161"/>
      <c r="K74" s="1162"/>
      <c r="L74" s="1163"/>
      <c r="M74" s="1129">
        <v>3</v>
      </c>
      <c r="N74" s="116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8"/>
    </row>
    <row r="75" spans="1:25" ht="14" customHeight="1" x14ac:dyDescent="0.15">
      <c r="A75" s="13"/>
      <c r="B75" s="1132">
        <v>2.9</v>
      </c>
      <c r="C75" s="588"/>
      <c r="D75" s="541"/>
      <c r="E75" s="512"/>
      <c r="F75" s="1167"/>
      <c r="G75" s="22"/>
      <c r="H75" s="1168"/>
      <c r="I75" s="407"/>
      <c r="J75" s="631"/>
      <c r="K75" s="1169"/>
      <c r="L75" s="1170"/>
      <c r="M75" s="1132">
        <v>2.9</v>
      </c>
      <c r="N75" s="1171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8"/>
    </row>
    <row r="76" spans="1:25" ht="14" customHeight="1" x14ac:dyDescent="0.15">
      <c r="A76" s="13"/>
      <c r="B76" s="1132">
        <v>2.8</v>
      </c>
      <c r="C76" s="588"/>
      <c r="D76" s="541"/>
      <c r="E76" s="1175"/>
      <c r="F76" s="1167"/>
      <c r="G76" s="22"/>
      <c r="H76" s="1168"/>
      <c r="I76" s="1176"/>
      <c r="J76" s="631"/>
      <c r="K76" s="1169"/>
      <c r="L76" s="1170"/>
      <c r="M76" s="1132">
        <v>2.8</v>
      </c>
      <c r="N76" s="1171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8"/>
    </row>
    <row r="77" spans="1:25" ht="14" customHeight="1" x14ac:dyDescent="0.15">
      <c r="A77" s="13"/>
      <c r="B77" s="1132">
        <v>2.7</v>
      </c>
      <c r="C77" s="588"/>
      <c r="D77" s="541"/>
      <c r="E77" s="512"/>
      <c r="F77" s="1167"/>
      <c r="G77" s="22"/>
      <c r="H77" s="1168"/>
      <c r="I77" s="407"/>
      <c r="J77" s="631"/>
      <c r="K77" s="1169"/>
      <c r="L77" s="1170"/>
      <c r="M77" s="1132">
        <v>2.7</v>
      </c>
      <c r="N77" s="1171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8"/>
    </row>
    <row r="78" spans="1:25" ht="14" customHeight="1" x14ac:dyDescent="0.15">
      <c r="A78" s="13"/>
      <c r="B78" s="1132">
        <v>2.6</v>
      </c>
      <c r="C78" s="588"/>
      <c r="D78" s="541"/>
      <c r="E78" s="1175"/>
      <c r="F78" s="1167"/>
      <c r="G78" s="22"/>
      <c r="H78" s="1168"/>
      <c r="I78" s="1176"/>
      <c r="J78" s="631"/>
      <c r="K78" s="1169"/>
      <c r="L78" s="1170"/>
      <c r="M78" s="1132">
        <v>2.6</v>
      </c>
      <c r="N78" s="1171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8"/>
    </row>
    <row r="79" spans="1:25" ht="14" customHeight="1" x14ac:dyDescent="0.15">
      <c r="A79" s="13"/>
      <c r="B79" s="1132">
        <v>2.5</v>
      </c>
      <c r="C79" s="588"/>
      <c r="D79" s="541"/>
      <c r="E79" s="512"/>
      <c r="F79" s="1167"/>
      <c r="G79" s="22"/>
      <c r="H79" s="1168"/>
      <c r="I79" s="407"/>
      <c r="J79" s="631"/>
      <c r="K79" s="1169"/>
      <c r="L79" s="1170"/>
      <c r="M79" s="1132">
        <v>2.5</v>
      </c>
      <c r="N79" s="1171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8"/>
    </row>
    <row r="80" spans="1:25" ht="14" customHeight="1" x14ac:dyDescent="0.15">
      <c r="A80" s="13"/>
      <c r="B80" s="1132">
        <v>2.4</v>
      </c>
      <c r="C80" s="588"/>
      <c r="D80" s="541"/>
      <c r="E80" s="1175"/>
      <c r="F80" s="1167"/>
      <c r="G80" s="22"/>
      <c r="H80" s="1168"/>
      <c r="I80" s="1176"/>
      <c r="J80" s="631"/>
      <c r="K80" s="1169"/>
      <c r="L80" s="1170"/>
      <c r="M80" s="1132">
        <v>2.4</v>
      </c>
      <c r="N80" s="1171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8"/>
    </row>
    <row r="81" spans="1:25" ht="14" customHeight="1" x14ac:dyDescent="0.15">
      <c r="A81" s="13"/>
      <c r="B81" s="1132">
        <v>2.2999999999999998</v>
      </c>
      <c r="C81" s="588"/>
      <c r="D81" s="541"/>
      <c r="E81" s="512"/>
      <c r="F81" s="1167"/>
      <c r="G81" s="22"/>
      <c r="H81" s="1168"/>
      <c r="I81" s="407"/>
      <c r="J81" s="631"/>
      <c r="K81" s="1169"/>
      <c r="L81" s="1170"/>
      <c r="M81" s="1132">
        <v>2.2999999999999998</v>
      </c>
      <c r="N81" s="1171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8"/>
    </row>
    <row r="82" spans="1:25" ht="14" customHeight="1" x14ac:dyDescent="0.15">
      <c r="A82" s="13"/>
      <c r="B82" s="1132">
        <v>2.2000000000000002</v>
      </c>
      <c r="C82" s="588"/>
      <c r="D82" s="541"/>
      <c r="E82" s="1175"/>
      <c r="F82" s="1167"/>
      <c r="G82" s="22"/>
      <c r="H82" s="1168"/>
      <c r="I82" s="1176"/>
      <c r="J82" s="631"/>
      <c r="K82" s="1169"/>
      <c r="L82" s="1170"/>
      <c r="M82" s="1132">
        <v>2.2000000000000002</v>
      </c>
      <c r="N82" s="1171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8"/>
    </row>
    <row r="83" spans="1:25" ht="14" customHeight="1" x14ac:dyDescent="0.15">
      <c r="A83" s="13"/>
      <c r="B83" s="1132">
        <v>2.1</v>
      </c>
      <c r="C83" s="588"/>
      <c r="D83" s="541"/>
      <c r="E83" s="512"/>
      <c r="F83" s="1167"/>
      <c r="G83" s="22"/>
      <c r="H83" s="1168"/>
      <c r="I83" s="407"/>
      <c r="J83" s="631"/>
      <c r="K83" s="1169"/>
      <c r="L83" s="1170"/>
      <c r="M83" s="1132">
        <v>2.1</v>
      </c>
      <c r="N83" s="1171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8"/>
    </row>
    <row r="84" spans="1:25" ht="16" customHeight="1" x14ac:dyDescent="0.15">
      <c r="A84" s="13"/>
      <c r="B84" s="1129">
        <v>2</v>
      </c>
      <c r="C84" s="1154"/>
      <c r="D84" s="1155"/>
      <c r="E84" s="1156"/>
      <c r="F84" s="1157"/>
      <c r="G84" s="1158"/>
      <c r="H84" s="1159"/>
      <c r="I84" s="1160"/>
      <c r="J84" s="1161"/>
      <c r="K84" s="1162"/>
      <c r="L84" s="1163"/>
      <c r="M84" s="1129">
        <v>2</v>
      </c>
      <c r="N84" s="116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8"/>
    </row>
    <row r="85" spans="1:25" ht="14" customHeight="1" x14ac:dyDescent="0.15">
      <c r="A85" s="13"/>
      <c r="B85" s="1132">
        <v>1.9</v>
      </c>
      <c r="C85" s="588"/>
      <c r="D85" s="541"/>
      <c r="E85" s="512"/>
      <c r="F85" s="1167"/>
      <c r="G85" s="22"/>
      <c r="H85" s="1168"/>
      <c r="I85" s="407"/>
      <c r="J85" s="631"/>
      <c r="K85" s="1169"/>
      <c r="L85" s="1170"/>
      <c r="M85" s="1132">
        <v>1.9</v>
      </c>
      <c r="N85" s="1171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8"/>
    </row>
    <row r="86" spans="1:25" ht="14" customHeight="1" x14ac:dyDescent="0.15">
      <c r="A86" s="13"/>
      <c r="B86" s="1132">
        <v>1.8</v>
      </c>
      <c r="C86" s="588"/>
      <c r="D86" s="541"/>
      <c r="E86" s="1175"/>
      <c r="F86" s="1167"/>
      <c r="G86" s="22"/>
      <c r="H86" s="1168"/>
      <c r="I86" s="1176"/>
      <c r="J86" s="631"/>
      <c r="K86" s="1169"/>
      <c r="L86" s="1170"/>
      <c r="M86" s="1132">
        <v>1.8</v>
      </c>
      <c r="N86" s="1171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8"/>
    </row>
    <row r="87" spans="1:25" ht="14" customHeight="1" x14ac:dyDescent="0.15">
      <c r="A87" s="13"/>
      <c r="B87" s="1132">
        <v>1.7</v>
      </c>
      <c r="C87" s="588"/>
      <c r="D87" s="541"/>
      <c r="E87" s="512"/>
      <c r="F87" s="1167"/>
      <c r="G87" s="22"/>
      <c r="H87" s="1168"/>
      <c r="I87" s="407"/>
      <c r="J87" s="631"/>
      <c r="K87" s="1169"/>
      <c r="L87" s="1170"/>
      <c r="M87" s="1132">
        <v>1.7</v>
      </c>
      <c r="N87" s="1171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8"/>
    </row>
    <row r="88" spans="1:25" ht="14" customHeight="1" x14ac:dyDescent="0.15">
      <c r="A88" s="13"/>
      <c r="B88" s="1132">
        <v>1.6</v>
      </c>
      <c r="C88" s="588"/>
      <c r="D88" s="541"/>
      <c r="E88" s="1175"/>
      <c r="F88" s="1167"/>
      <c r="G88" s="22"/>
      <c r="H88" s="1168"/>
      <c r="I88" s="1176"/>
      <c r="J88" s="631"/>
      <c r="K88" s="1169"/>
      <c r="L88" s="1170"/>
      <c r="M88" s="1132">
        <v>1.6</v>
      </c>
      <c r="N88" s="1171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8"/>
    </row>
    <row r="89" spans="1:25" ht="14" customHeight="1" x14ac:dyDescent="0.15">
      <c r="A89" s="13"/>
      <c r="B89" s="1132">
        <v>1.5</v>
      </c>
      <c r="C89" s="588"/>
      <c r="D89" s="541"/>
      <c r="E89" s="512"/>
      <c r="F89" s="1167"/>
      <c r="G89" s="22"/>
      <c r="H89" s="1168"/>
      <c r="I89" s="407"/>
      <c r="J89" s="631"/>
      <c r="K89" s="1169"/>
      <c r="L89" s="1170"/>
      <c r="M89" s="1132">
        <v>1.5</v>
      </c>
      <c r="N89" s="1171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8"/>
    </row>
    <row r="90" spans="1:25" ht="14" customHeight="1" x14ac:dyDescent="0.15">
      <c r="A90" s="13"/>
      <c r="B90" s="1132">
        <v>1.4</v>
      </c>
      <c r="C90" s="588"/>
      <c r="D90" s="541"/>
      <c r="E90" s="1175"/>
      <c r="F90" s="1167"/>
      <c r="G90" s="22"/>
      <c r="H90" s="1168"/>
      <c r="I90" s="1176"/>
      <c r="J90" s="631"/>
      <c r="K90" s="1169"/>
      <c r="L90" s="1170"/>
      <c r="M90" s="1132">
        <v>1.4</v>
      </c>
      <c r="N90" s="1171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8"/>
    </row>
    <row r="91" spans="1:25" ht="14" customHeight="1" x14ac:dyDescent="0.15">
      <c r="A91" s="13"/>
      <c r="B91" s="1132">
        <v>1.3</v>
      </c>
      <c r="C91" s="588"/>
      <c r="D91" s="541"/>
      <c r="E91" s="512"/>
      <c r="F91" s="1167"/>
      <c r="G91" s="22"/>
      <c r="H91" s="1168"/>
      <c r="I91" s="407"/>
      <c r="J91" s="631"/>
      <c r="K91" s="1169"/>
      <c r="L91" s="1170"/>
      <c r="M91" s="1132">
        <v>1.3</v>
      </c>
      <c r="N91" s="1171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8"/>
    </row>
    <row r="92" spans="1:25" ht="14" customHeight="1" x14ac:dyDescent="0.15">
      <c r="A92" s="13"/>
      <c r="B92" s="1132">
        <v>1.2</v>
      </c>
      <c r="C92" s="588"/>
      <c r="D92" s="541"/>
      <c r="E92" s="1175"/>
      <c r="F92" s="1167"/>
      <c r="G92" s="22"/>
      <c r="H92" s="1168"/>
      <c r="I92" s="1176"/>
      <c r="J92" s="631"/>
      <c r="K92" s="1169"/>
      <c r="L92" s="1170"/>
      <c r="M92" s="1132">
        <v>1.2</v>
      </c>
      <c r="N92" s="1171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8"/>
    </row>
    <row r="93" spans="1:25" ht="14" customHeight="1" x14ac:dyDescent="0.15">
      <c r="A93" s="13"/>
      <c r="B93" s="1132">
        <v>1.1000000000000001</v>
      </c>
      <c r="C93" s="588"/>
      <c r="D93" s="541"/>
      <c r="E93" s="512"/>
      <c r="F93" s="1167"/>
      <c r="G93" s="22"/>
      <c r="H93" s="1168"/>
      <c r="I93" s="407"/>
      <c r="J93" s="631"/>
      <c r="K93" s="1169"/>
      <c r="L93" s="1170"/>
      <c r="M93" s="1132">
        <v>1.1000000000000001</v>
      </c>
      <c r="N93" s="1171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8"/>
    </row>
    <row r="94" spans="1:25" ht="16" customHeight="1" x14ac:dyDescent="0.15">
      <c r="A94" s="13"/>
      <c r="B94" s="1129">
        <v>1</v>
      </c>
      <c r="C94" s="1154"/>
      <c r="D94" s="1155"/>
      <c r="E94" s="1156"/>
      <c r="F94" s="1157"/>
      <c r="G94" s="1158"/>
      <c r="H94" s="1159"/>
      <c r="I94" s="1160"/>
      <c r="J94" s="1161"/>
      <c r="K94" s="1162"/>
      <c r="L94" s="1163"/>
      <c r="M94" s="1129">
        <v>1</v>
      </c>
      <c r="N94" s="116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8"/>
    </row>
    <row r="95" spans="1:25" ht="14" customHeight="1" x14ac:dyDescent="0.15">
      <c r="A95" s="13"/>
      <c r="B95" s="1132">
        <v>0.9</v>
      </c>
      <c r="C95" s="588"/>
      <c r="D95" s="541"/>
      <c r="E95" s="512"/>
      <c r="F95" s="1167"/>
      <c r="G95" s="22"/>
      <c r="H95" s="1168"/>
      <c r="I95" s="407"/>
      <c r="J95" s="631"/>
      <c r="K95" s="1169"/>
      <c r="L95" s="1170"/>
      <c r="M95" s="1132">
        <v>0.9</v>
      </c>
      <c r="N95" s="1171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8"/>
    </row>
    <row r="96" spans="1:25" ht="14" customHeight="1" x14ac:dyDescent="0.15">
      <c r="A96" s="13"/>
      <c r="B96" s="1132">
        <v>0.8</v>
      </c>
      <c r="C96" s="588"/>
      <c r="D96" s="541"/>
      <c r="E96" s="1175"/>
      <c r="F96" s="1167"/>
      <c r="G96" s="22"/>
      <c r="H96" s="1168"/>
      <c r="I96" s="1176"/>
      <c r="J96" s="631"/>
      <c r="K96" s="1169"/>
      <c r="L96" s="1170"/>
      <c r="M96" s="1132">
        <v>0.8</v>
      </c>
      <c r="N96" s="1171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8"/>
    </row>
    <row r="97" spans="1:25" ht="14" customHeight="1" x14ac:dyDescent="0.15">
      <c r="A97" s="13"/>
      <c r="B97" s="1132">
        <v>0.7</v>
      </c>
      <c r="C97" s="588"/>
      <c r="D97" s="541"/>
      <c r="E97" s="512"/>
      <c r="F97" s="1167"/>
      <c r="G97" s="22"/>
      <c r="H97" s="1168"/>
      <c r="I97" s="407"/>
      <c r="J97" s="631"/>
      <c r="K97" s="1169"/>
      <c r="L97" s="1170"/>
      <c r="M97" s="1132">
        <v>0.7</v>
      </c>
      <c r="N97" s="1171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8"/>
    </row>
    <row r="98" spans="1:25" ht="14" customHeight="1" x14ac:dyDescent="0.15">
      <c r="A98" s="13"/>
      <c r="B98" s="1132">
        <v>0.6</v>
      </c>
      <c r="C98" s="588"/>
      <c r="D98" s="541"/>
      <c r="E98" s="1175"/>
      <c r="F98" s="1167"/>
      <c r="G98" s="22"/>
      <c r="H98" s="1168"/>
      <c r="I98" s="1176"/>
      <c r="J98" s="631"/>
      <c r="K98" s="1169"/>
      <c r="L98" s="1170"/>
      <c r="M98" s="1132">
        <v>0.6</v>
      </c>
      <c r="N98" s="1171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8"/>
    </row>
    <row r="99" spans="1:25" ht="14" customHeight="1" x14ac:dyDescent="0.15">
      <c r="A99" s="13"/>
      <c r="B99" s="1132">
        <v>0.5</v>
      </c>
      <c r="C99" s="588"/>
      <c r="D99" s="541"/>
      <c r="E99" s="512"/>
      <c r="F99" s="1167"/>
      <c r="G99" s="22"/>
      <c r="H99" s="1168"/>
      <c r="I99" s="407"/>
      <c r="J99" s="631"/>
      <c r="K99" s="1169"/>
      <c r="L99" s="1170"/>
      <c r="M99" s="1132">
        <v>0.5</v>
      </c>
      <c r="N99" s="1171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8"/>
    </row>
    <row r="100" spans="1:25" ht="14" customHeight="1" x14ac:dyDescent="0.15">
      <c r="A100" s="13"/>
      <c r="B100" s="1132">
        <v>0.4</v>
      </c>
      <c r="C100" s="588"/>
      <c r="D100" s="541"/>
      <c r="E100" s="1175"/>
      <c r="F100" s="1167"/>
      <c r="G100" s="22"/>
      <c r="H100" s="1168"/>
      <c r="I100" s="1176"/>
      <c r="J100" s="631"/>
      <c r="K100" s="1169"/>
      <c r="L100" s="1170"/>
      <c r="M100" s="1132">
        <v>0.4</v>
      </c>
      <c r="N100" s="1171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8"/>
    </row>
    <row r="101" spans="1:25" ht="14" customHeight="1" x14ac:dyDescent="0.15">
      <c r="A101" s="13"/>
      <c r="B101" s="1132">
        <v>0.3</v>
      </c>
      <c r="C101" s="588"/>
      <c r="D101" s="541"/>
      <c r="E101" s="512"/>
      <c r="F101" s="1167"/>
      <c r="G101" s="22"/>
      <c r="H101" s="1168"/>
      <c r="I101" s="407"/>
      <c r="J101" s="631"/>
      <c r="K101" s="1169"/>
      <c r="L101" s="1170"/>
      <c r="M101" s="1132">
        <v>0.3</v>
      </c>
      <c r="N101" s="1171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8"/>
    </row>
    <row r="102" spans="1:25" ht="14" customHeight="1" x14ac:dyDescent="0.15">
      <c r="A102" s="13"/>
      <c r="B102" s="1132">
        <v>0.2</v>
      </c>
      <c r="C102" s="588"/>
      <c r="D102" s="541"/>
      <c r="E102" s="1175"/>
      <c r="F102" s="1167"/>
      <c r="G102" s="22"/>
      <c r="H102" s="1168"/>
      <c r="I102" s="1176"/>
      <c r="J102" s="631"/>
      <c r="K102" s="1169"/>
      <c r="L102" s="1170"/>
      <c r="M102" s="1132">
        <v>0.2</v>
      </c>
      <c r="N102" s="1171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8"/>
    </row>
    <row r="103" spans="1:25" ht="14" customHeight="1" x14ac:dyDescent="0.15">
      <c r="A103" s="13"/>
      <c r="B103" s="1132">
        <v>0.1</v>
      </c>
      <c r="C103" s="588"/>
      <c r="D103" s="541"/>
      <c r="E103" s="512"/>
      <c r="F103" s="1167"/>
      <c r="G103" s="22"/>
      <c r="H103" s="1168"/>
      <c r="I103" s="407"/>
      <c r="J103" s="631"/>
      <c r="K103" s="1169"/>
      <c r="L103" s="1170"/>
      <c r="M103" s="1132">
        <v>0.1</v>
      </c>
      <c r="N103" s="1171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8"/>
    </row>
    <row r="104" spans="1:25" ht="16" customHeight="1" x14ac:dyDescent="0.15">
      <c r="A104" s="13"/>
      <c r="B104" s="1129">
        <v>0</v>
      </c>
      <c r="C104" s="1154"/>
      <c r="D104" s="1155"/>
      <c r="E104" s="1156"/>
      <c r="F104" s="1157"/>
      <c r="G104" s="1158"/>
      <c r="H104" s="1159"/>
      <c r="I104" s="1160"/>
      <c r="J104" s="1161"/>
      <c r="K104" s="1162"/>
      <c r="L104" s="1163"/>
      <c r="M104" s="1129">
        <v>0</v>
      </c>
      <c r="N104" s="116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8"/>
    </row>
    <row r="105" spans="1:25" ht="33" customHeight="1" x14ac:dyDescent="0.15">
      <c r="A105" s="108"/>
      <c r="B105" s="1139"/>
      <c r="C105" s="1140" t="s">
        <v>9</v>
      </c>
      <c r="D105" s="1141" t="s">
        <v>10</v>
      </c>
      <c r="E105" s="1142" t="s">
        <v>11</v>
      </c>
      <c r="F105" s="1143" t="s">
        <v>12</v>
      </c>
      <c r="G105" s="1144" t="s">
        <v>13</v>
      </c>
      <c r="H105" s="1145" t="s">
        <v>14</v>
      </c>
      <c r="I105" s="1146" t="s">
        <v>15</v>
      </c>
      <c r="J105" s="1147" t="s">
        <v>16</v>
      </c>
      <c r="K105" s="1148" t="s">
        <v>17</v>
      </c>
      <c r="L105" s="1149" t="s">
        <v>18</v>
      </c>
      <c r="M105" s="1139"/>
      <c r="N105" s="1150" t="s">
        <v>333</v>
      </c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25"/>
    </row>
  </sheetData>
  <pageMargins left="0.7" right="0.7" top="0.75" bottom="0.75" header="0.51180599999999998" footer="0.51180599999999998"/>
  <pageSetup orientation="portrait"/>
  <headerFoot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showGridLines="0" workbookViewId="0"/>
  </sheetViews>
  <sheetFormatPr baseColWidth="10" defaultColWidth="8.83203125" defaultRowHeight="13" customHeight="1" x14ac:dyDescent="0.15"/>
  <cols>
    <col min="1" max="1" width="8.83203125" style="1193" customWidth="1"/>
    <col min="2" max="2" width="15.6640625" style="1193" customWidth="1"/>
    <col min="3" max="3" width="17.83203125" style="1193" customWidth="1"/>
    <col min="4" max="4" width="16.33203125" style="1193" customWidth="1"/>
    <col min="5" max="5" width="11.6640625" style="1193" customWidth="1"/>
    <col min="6" max="6" width="4" style="1193" customWidth="1"/>
    <col min="7" max="256" width="8.83203125" customWidth="1"/>
  </cols>
  <sheetData>
    <row r="1" spans="1:6" ht="13.75" customHeight="1" x14ac:dyDescent="0.15">
      <c r="A1" s="2"/>
      <c r="B1" s="4"/>
      <c r="C1" s="4"/>
      <c r="D1" s="4"/>
      <c r="E1" s="4"/>
      <c r="F1" s="5"/>
    </row>
    <row r="2" spans="1:6" ht="13.75" customHeight="1" x14ac:dyDescent="0.15">
      <c r="A2" s="13"/>
      <c r="B2" s="14"/>
      <c r="C2" s="14"/>
      <c r="D2" s="14"/>
      <c r="E2" s="14"/>
      <c r="F2" s="8"/>
    </row>
    <row r="3" spans="1:6" ht="13.75" customHeight="1" x14ac:dyDescent="0.15">
      <c r="A3" s="13"/>
      <c r="B3" s="14"/>
      <c r="C3" s="14"/>
      <c r="D3" s="14"/>
      <c r="E3" s="14"/>
      <c r="F3" s="8"/>
    </row>
    <row r="4" spans="1:6" ht="13.75" customHeight="1" x14ac:dyDescent="0.15">
      <c r="A4" s="13"/>
      <c r="B4" s="799" t="s">
        <v>339</v>
      </c>
      <c r="C4" s="799" t="s">
        <v>340</v>
      </c>
      <c r="D4" s="799" t="s">
        <v>341</v>
      </c>
      <c r="E4" s="799" t="s">
        <v>342</v>
      </c>
      <c r="F4" s="8"/>
    </row>
    <row r="5" spans="1:6" ht="13.75" customHeight="1" x14ac:dyDescent="0.15">
      <c r="A5" s="13"/>
      <c r="B5" s="1194">
        <v>0</v>
      </c>
      <c r="C5" s="1194">
        <v>0</v>
      </c>
      <c r="D5" s="1194">
        <v>2.8E-3</v>
      </c>
      <c r="E5" s="1194">
        <v>2.8E-3</v>
      </c>
      <c r="F5" s="1195">
        <v>0</v>
      </c>
    </row>
    <row r="6" spans="1:6" ht="13.75" customHeight="1" x14ac:dyDescent="0.15">
      <c r="A6" s="13"/>
      <c r="B6" s="1194">
        <v>7.0000000000000007E-2</v>
      </c>
      <c r="C6" s="1194">
        <v>1.2217300000000001E-3</v>
      </c>
      <c r="D6" s="1194">
        <v>2.7950000000000002E-3</v>
      </c>
      <c r="E6" s="1194">
        <v>4.0167299999999996E-3</v>
      </c>
      <c r="F6" s="1195">
        <v>0.1</v>
      </c>
    </row>
    <row r="7" spans="1:6" ht="13.75" customHeight="1" x14ac:dyDescent="0.15">
      <c r="A7" s="13"/>
      <c r="B7" s="1194">
        <v>0.14000000000000001</v>
      </c>
      <c r="C7" s="1194">
        <v>2.4434610000000001E-3</v>
      </c>
      <c r="D7" s="1194">
        <v>2.7899999999999999E-3</v>
      </c>
      <c r="E7" s="1194">
        <v>5.233461E-3</v>
      </c>
      <c r="F7" s="1195">
        <v>0.2</v>
      </c>
    </row>
    <row r="8" spans="1:6" ht="13.75" customHeight="1" x14ac:dyDescent="0.15">
      <c r="A8" s="13"/>
      <c r="B8" s="1194">
        <v>0.21</v>
      </c>
      <c r="C8" s="1194">
        <v>3.6651909999999999E-3</v>
      </c>
      <c r="D8" s="1194">
        <v>2.7850000000000001E-3</v>
      </c>
      <c r="E8" s="1194">
        <v>6.4501910000000001E-3</v>
      </c>
      <c r="F8" s="1195">
        <v>0.3</v>
      </c>
    </row>
    <row r="9" spans="1:6" ht="13.75" customHeight="1" x14ac:dyDescent="0.15">
      <c r="A9" s="13"/>
      <c r="B9" s="1194">
        <v>0.28000000000000003</v>
      </c>
      <c r="C9" s="1194">
        <v>4.8869220000000001E-3</v>
      </c>
      <c r="D9" s="1194">
        <v>2.7799999999999999E-3</v>
      </c>
      <c r="E9" s="1194">
        <v>7.6669219999999996E-3</v>
      </c>
      <c r="F9" s="1195">
        <v>0.4</v>
      </c>
    </row>
    <row r="10" spans="1:6" ht="13.75" customHeight="1" x14ac:dyDescent="0.15">
      <c r="A10" s="13"/>
      <c r="B10" s="1194">
        <v>0.35</v>
      </c>
      <c r="C10" s="1194">
        <v>6.108652E-3</v>
      </c>
      <c r="D10" s="1194">
        <v>2.7750000000000001E-3</v>
      </c>
      <c r="E10" s="1194">
        <v>8.8836520000000006E-3</v>
      </c>
      <c r="F10" s="1195">
        <v>0.5</v>
      </c>
    </row>
    <row r="11" spans="1:6" ht="13.75" customHeight="1" x14ac:dyDescent="0.15">
      <c r="A11" s="13"/>
      <c r="B11" s="1194">
        <v>0.42</v>
      </c>
      <c r="C11" s="1194">
        <v>7.3303830000000002E-3</v>
      </c>
      <c r="D11" s="1194">
        <v>2.7699999999999999E-3</v>
      </c>
      <c r="E11" s="1194">
        <v>1.0100382999999999E-2</v>
      </c>
      <c r="F11" s="1195">
        <v>0.6</v>
      </c>
    </row>
    <row r="12" spans="1:6" ht="13.75" customHeight="1" x14ac:dyDescent="0.15">
      <c r="A12" s="13"/>
      <c r="B12" s="1194">
        <v>0.49</v>
      </c>
      <c r="C12" s="1194">
        <v>8.5521130000000001E-3</v>
      </c>
      <c r="D12" s="1194">
        <v>2.7650000000000001E-3</v>
      </c>
      <c r="E12" s="1194">
        <v>1.1317113E-2</v>
      </c>
      <c r="F12" s="1195">
        <v>0.7</v>
      </c>
    </row>
    <row r="13" spans="1:6" ht="13.75" customHeight="1" x14ac:dyDescent="0.15">
      <c r="A13" s="13"/>
      <c r="B13" s="1194">
        <v>0.56000000000000005</v>
      </c>
      <c r="C13" s="1194">
        <v>9.7738440000000003E-3</v>
      </c>
      <c r="D13" s="1194">
        <v>2.7599999999999999E-3</v>
      </c>
      <c r="E13" s="1194">
        <v>1.2533844000000001E-2</v>
      </c>
      <c r="F13" s="1195">
        <v>0.8</v>
      </c>
    </row>
    <row r="14" spans="1:6" ht="13.75" customHeight="1" x14ac:dyDescent="0.15">
      <c r="A14" s="13"/>
      <c r="B14" s="1194">
        <v>0.63</v>
      </c>
      <c r="C14" s="1194">
        <v>1.0995573999999999E-2</v>
      </c>
      <c r="D14" s="1194">
        <v>2.7550000000000001E-3</v>
      </c>
      <c r="E14" s="1194">
        <v>1.3750574E-2</v>
      </c>
      <c r="F14" s="1195">
        <v>0.9</v>
      </c>
    </row>
    <row r="15" spans="1:6" ht="13.75" customHeight="1" x14ac:dyDescent="0.15">
      <c r="A15" s="13"/>
      <c r="B15" s="1194">
        <v>0.7</v>
      </c>
      <c r="C15" s="1194">
        <v>1.2217304999999999E-2</v>
      </c>
      <c r="D15" s="1194">
        <v>2.7499999999999998E-3</v>
      </c>
      <c r="E15" s="1194">
        <v>1.4967305E-2</v>
      </c>
      <c r="F15" s="1195">
        <v>1</v>
      </c>
    </row>
    <row r="16" spans="1:6" ht="13.75" customHeight="1" x14ac:dyDescent="0.15">
      <c r="A16" s="13"/>
      <c r="B16" s="1194">
        <v>0.77</v>
      </c>
      <c r="C16" s="1194">
        <v>1.3439035E-2</v>
      </c>
      <c r="D16" s="1194">
        <v>2.745E-3</v>
      </c>
      <c r="E16" s="1194">
        <v>1.6184034999999999E-2</v>
      </c>
      <c r="F16" s="1195">
        <v>1.1000000000000001</v>
      </c>
    </row>
    <row r="17" spans="1:6" ht="13.75" customHeight="1" x14ac:dyDescent="0.15">
      <c r="A17" s="13"/>
      <c r="B17" s="1194">
        <v>0.84</v>
      </c>
      <c r="C17" s="1194">
        <v>1.4660766E-2</v>
      </c>
      <c r="D17" s="1194">
        <v>2.7399999999999998E-3</v>
      </c>
      <c r="E17" s="1194">
        <v>1.7400766000000002E-2</v>
      </c>
      <c r="F17" s="1195">
        <v>1.2</v>
      </c>
    </row>
    <row r="18" spans="1:6" ht="13.75" customHeight="1" x14ac:dyDescent="0.15">
      <c r="A18" s="13"/>
      <c r="B18" s="1194">
        <v>0.91</v>
      </c>
      <c r="C18" s="1194">
        <v>1.5882495999999999E-2</v>
      </c>
      <c r="D18" s="1194">
        <v>2.735E-3</v>
      </c>
      <c r="E18" s="1194">
        <v>1.8617496000000001E-2</v>
      </c>
      <c r="F18" s="1195">
        <v>1.3</v>
      </c>
    </row>
    <row r="19" spans="1:6" ht="13.75" customHeight="1" x14ac:dyDescent="0.15">
      <c r="A19" s="13"/>
      <c r="B19" s="1194">
        <v>0.98</v>
      </c>
      <c r="C19" s="1194">
        <v>1.7104227E-2</v>
      </c>
      <c r="D19" s="1194">
        <v>2.7299999999999998E-3</v>
      </c>
      <c r="E19" s="1194">
        <v>1.9834226999999999E-2</v>
      </c>
      <c r="F19" s="1195">
        <v>1.4</v>
      </c>
    </row>
    <row r="20" spans="1:6" ht="13.75" customHeight="1" x14ac:dyDescent="0.15">
      <c r="A20" s="13"/>
      <c r="B20" s="1194">
        <v>1.05</v>
      </c>
      <c r="C20" s="1194">
        <v>1.8325957E-2</v>
      </c>
      <c r="D20" s="1194">
        <v>2.725E-3</v>
      </c>
      <c r="E20" s="1194">
        <v>2.1050956999999999E-2</v>
      </c>
      <c r="F20" s="1195">
        <v>1.5</v>
      </c>
    </row>
    <row r="21" spans="1:6" ht="13.75" customHeight="1" x14ac:dyDescent="0.15">
      <c r="A21" s="13"/>
      <c r="B21" s="1194">
        <v>1.1200000000000001</v>
      </c>
      <c r="C21" s="1194">
        <v>1.9547688000000001E-2</v>
      </c>
      <c r="D21" s="1194">
        <v>2.7200000000000002E-3</v>
      </c>
      <c r="E21" s="1194">
        <v>2.2267688000000001E-2</v>
      </c>
      <c r="F21" s="1195">
        <v>1.6</v>
      </c>
    </row>
    <row r="22" spans="1:6" ht="13.75" customHeight="1" x14ac:dyDescent="0.15">
      <c r="A22" s="13"/>
      <c r="B22" s="1194">
        <v>1.19</v>
      </c>
      <c r="C22" s="1194">
        <v>2.0769418000000001E-2</v>
      </c>
      <c r="D22" s="1194">
        <v>2.715E-3</v>
      </c>
      <c r="E22" s="1194">
        <v>2.3484418E-2</v>
      </c>
      <c r="F22" s="1195">
        <v>1.7</v>
      </c>
    </row>
    <row r="23" spans="1:6" ht="13.75" customHeight="1" x14ac:dyDescent="0.15">
      <c r="A23" s="13"/>
      <c r="B23" s="1194">
        <v>1.26</v>
      </c>
      <c r="C23" s="1194">
        <v>2.1991149000000002E-2</v>
      </c>
      <c r="D23" s="1194">
        <v>2.7100000000000002E-3</v>
      </c>
      <c r="E23" s="1194">
        <v>2.4701148999999999E-2</v>
      </c>
      <c r="F23" s="1195">
        <v>1.8</v>
      </c>
    </row>
    <row r="24" spans="1:6" ht="13.75" customHeight="1" x14ac:dyDescent="0.15">
      <c r="A24" s="13"/>
      <c r="B24" s="1194">
        <v>1.33</v>
      </c>
      <c r="C24" s="1194">
        <v>2.3212878999999999E-2</v>
      </c>
      <c r="D24" s="1194">
        <v>2.7049999999999999E-3</v>
      </c>
      <c r="E24" s="1194">
        <v>2.5917879000000001E-2</v>
      </c>
      <c r="F24" s="1195">
        <v>1.9</v>
      </c>
    </row>
    <row r="25" spans="1:6" ht="13.75" customHeight="1" x14ac:dyDescent="0.15">
      <c r="A25" s="13"/>
      <c r="B25" s="1194">
        <v>1.4</v>
      </c>
      <c r="C25" s="1194">
        <v>2.4434609999999999E-2</v>
      </c>
      <c r="D25" s="1194">
        <v>2.7000000000000001E-3</v>
      </c>
      <c r="E25" s="1194">
        <v>2.713461E-2</v>
      </c>
      <c r="F25" s="1195">
        <v>2</v>
      </c>
    </row>
    <row r="26" spans="1:6" ht="13.75" customHeight="1" x14ac:dyDescent="0.15">
      <c r="A26" s="13"/>
      <c r="B26" s="1194">
        <v>1.47</v>
      </c>
      <c r="C26" s="1194">
        <v>2.565634E-2</v>
      </c>
      <c r="D26" s="1194">
        <v>2.6949999999999999E-3</v>
      </c>
      <c r="E26" s="1194">
        <v>2.8351339999999999E-2</v>
      </c>
      <c r="F26" s="1195">
        <v>2.1</v>
      </c>
    </row>
    <row r="27" spans="1:6" ht="13.75" customHeight="1" x14ac:dyDescent="0.15">
      <c r="A27" s="13"/>
      <c r="B27" s="1194">
        <v>1.54</v>
      </c>
      <c r="C27" s="1194">
        <v>2.687807E-2</v>
      </c>
      <c r="D27" s="1194">
        <v>2.6900000000000001E-3</v>
      </c>
      <c r="E27" s="1194">
        <v>2.9568069999999998E-2</v>
      </c>
      <c r="F27" s="1195">
        <v>2.2000000000000002</v>
      </c>
    </row>
    <row r="28" spans="1:6" ht="13.75" customHeight="1" x14ac:dyDescent="0.15">
      <c r="A28" s="13"/>
      <c r="B28" s="1194">
        <v>1.61</v>
      </c>
      <c r="C28" s="1194">
        <v>2.8099801000000001E-2</v>
      </c>
      <c r="D28" s="1194">
        <v>2.6849999999999999E-3</v>
      </c>
      <c r="E28" s="1194">
        <v>3.0784801000000001E-2</v>
      </c>
      <c r="F28" s="1195">
        <v>2.2999999999999998</v>
      </c>
    </row>
    <row r="29" spans="1:6" ht="13.75" customHeight="1" x14ac:dyDescent="0.15">
      <c r="A29" s="13"/>
      <c r="B29" s="1194">
        <v>1.68</v>
      </c>
      <c r="C29" s="1194">
        <v>2.9321531000000001E-2</v>
      </c>
      <c r="D29" s="1194">
        <v>2.6800000000000001E-3</v>
      </c>
      <c r="E29" s="1194">
        <v>3.2001531E-2</v>
      </c>
      <c r="F29" s="1195">
        <v>2.4</v>
      </c>
    </row>
    <row r="30" spans="1:6" ht="13.75" customHeight="1" x14ac:dyDescent="0.15">
      <c r="A30" s="13"/>
      <c r="B30" s="1194">
        <v>1.75</v>
      </c>
      <c r="C30" s="1194">
        <v>3.0543262000000002E-2</v>
      </c>
      <c r="D30" s="1194">
        <v>2.6749999999999999E-3</v>
      </c>
      <c r="E30" s="1194">
        <v>3.3218261999999998E-2</v>
      </c>
      <c r="F30" s="1195">
        <v>2.5</v>
      </c>
    </row>
    <row r="31" spans="1:6" ht="13.75" customHeight="1" x14ac:dyDescent="0.15">
      <c r="A31" s="13"/>
      <c r="B31" s="1194">
        <v>1.82</v>
      </c>
      <c r="C31" s="1194">
        <v>3.1764991999999999E-2</v>
      </c>
      <c r="D31" s="1194">
        <v>2.6700000000000001E-3</v>
      </c>
      <c r="E31" s="1194">
        <v>3.4434991999999998E-2</v>
      </c>
      <c r="F31" s="1195">
        <v>2.6</v>
      </c>
    </row>
    <row r="32" spans="1:6" ht="13.75" customHeight="1" x14ac:dyDescent="0.15">
      <c r="A32" s="13"/>
      <c r="B32" s="1194">
        <v>1.89</v>
      </c>
      <c r="C32" s="1194">
        <v>3.2986723000000003E-2</v>
      </c>
      <c r="D32" s="1194">
        <v>2.6649999999999998E-3</v>
      </c>
      <c r="E32" s="1194">
        <v>3.5651723000000003E-2</v>
      </c>
      <c r="F32" s="1195">
        <v>2.7</v>
      </c>
    </row>
    <row r="33" spans="1:6" ht="13.75" customHeight="1" x14ac:dyDescent="0.15">
      <c r="A33" s="13"/>
      <c r="B33" s="1194">
        <v>1.96</v>
      </c>
      <c r="C33" s="1194">
        <v>3.4208453E-2</v>
      </c>
      <c r="D33" s="1194">
        <v>2.66E-3</v>
      </c>
      <c r="E33" s="1194">
        <v>3.6868453000000002E-2</v>
      </c>
      <c r="F33" s="1195">
        <v>2.8</v>
      </c>
    </row>
    <row r="34" spans="1:6" ht="13.75" customHeight="1" x14ac:dyDescent="0.15">
      <c r="A34" s="13"/>
      <c r="B34" s="1194">
        <v>2.0299999999999998</v>
      </c>
      <c r="C34" s="1194">
        <v>3.5430184000000003E-2</v>
      </c>
      <c r="D34" s="1194">
        <v>2.6549999999999998E-3</v>
      </c>
      <c r="E34" s="1194">
        <v>3.8085184000000001E-2</v>
      </c>
      <c r="F34" s="1195">
        <v>2.9</v>
      </c>
    </row>
    <row r="35" spans="1:6" ht="13.75" customHeight="1" x14ac:dyDescent="0.15">
      <c r="A35" s="13"/>
      <c r="B35" s="1194">
        <v>2.1</v>
      </c>
      <c r="C35" s="1194">
        <v>3.6651914000000001E-2</v>
      </c>
      <c r="D35" s="1194">
        <v>2.65E-3</v>
      </c>
      <c r="E35" s="1194">
        <v>3.9301914E-2</v>
      </c>
      <c r="F35" s="1195">
        <v>3</v>
      </c>
    </row>
    <row r="36" spans="1:6" ht="13.75" customHeight="1" x14ac:dyDescent="0.15">
      <c r="A36" s="13"/>
      <c r="B36" s="1194">
        <v>2.17</v>
      </c>
      <c r="C36" s="1194">
        <v>3.7873644999999997E-2</v>
      </c>
      <c r="D36" s="1194">
        <v>2.6450000000000002E-3</v>
      </c>
      <c r="E36" s="1194">
        <v>4.0518644999999999E-2</v>
      </c>
      <c r="F36" s="1195">
        <v>3.1</v>
      </c>
    </row>
    <row r="37" spans="1:6" ht="13.75" customHeight="1" x14ac:dyDescent="0.15">
      <c r="A37" s="13"/>
      <c r="B37" s="1194">
        <v>2.2400000000000002</v>
      </c>
      <c r="C37" s="1194">
        <v>3.9095375000000002E-2</v>
      </c>
      <c r="D37" s="1194">
        <v>2.64E-3</v>
      </c>
      <c r="E37" s="1194">
        <v>4.1735374999999998E-2</v>
      </c>
      <c r="F37" s="1195">
        <v>3.2</v>
      </c>
    </row>
    <row r="38" spans="1:6" ht="13.75" customHeight="1" x14ac:dyDescent="0.15">
      <c r="A38" s="13"/>
      <c r="B38" s="1194">
        <v>2.31</v>
      </c>
      <c r="C38" s="1194">
        <v>4.0317105999999998E-2</v>
      </c>
      <c r="D38" s="1194">
        <v>2.6350000000000002E-3</v>
      </c>
      <c r="E38" s="1194">
        <v>4.2952105999999997E-2</v>
      </c>
      <c r="F38" s="1195">
        <v>3.3</v>
      </c>
    </row>
    <row r="39" spans="1:6" ht="13.75" customHeight="1" x14ac:dyDescent="0.15">
      <c r="A39" s="13"/>
      <c r="B39" s="1194">
        <v>2.38</v>
      </c>
      <c r="C39" s="1194">
        <v>4.1538836000000003E-2</v>
      </c>
      <c r="D39" s="1194">
        <v>2.63E-3</v>
      </c>
      <c r="E39" s="1194">
        <v>4.4168836000000003E-2</v>
      </c>
      <c r="F39" s="1195">
        <v>3.4</v>
      </c>
    </row>
    <row r="40" spans="1:6" ht="13.75" customHeight="1" x14ac:dyDescent="0.15">
      <c r="A40" s="13"/>
      <c r="B40" s="1194">
        <v>2.4500000000000002</v>
      </c>
      <c r="C40" s="1194">
        <v>4.2760566999999999E-2</v>
      </c>
      <c r="D40" s="1194">
        <v>2.6250000000000002E-3</v>
      </c>
      <c r="E40" s="1194">
        <v>4.5385567000000002E-2</v>
      </c>
      <c r="F40" s="1195">
        <v>3.5</v>
      </c>
    </row>
    <row r="41" spans="1:6" ht="13.75" customHeight="1" x14ac:dyDescent="0.15">
      <c r="A41" s="13"/>
      <c r="B41" s="1194">
        <v>2.52</v>
      </c>
      <c r="C41" s="1194">
        <v>4.3982296999999997E-2</v>
      </c>
      <c r="D41" s="1194">
        <v>2.6199999999999999E-3</v>
      </c>
      <c r="E41" s="1194">
        <v>4.6602297000000001E-2</v>
      </c>
      <c r="F41" s="1195">
        <v>3.6</v>
      </c>
    </row>
    <row r="42" spans="1:6" ht="13.75" customHeight="1" x14ac:dyDescent="0.15">
      <c r="A42" s="13"/>
      <c r="B42" s="1194">
        <v>2.59</v>
      </c>
      <c r="C42" s="1194">
        <v>4.5204028E-2</v>
      </c>
      <c r="D42" s="1194">
        <v>2.6150000000000001E-3</v>
      </c>
      <c r="E42" s="1194">
        <v>4.7819028E-2</v>
      </c>
      <c r="F42" s="1195">
        <v>3.7</v>
      </c>
    </row>
    <row r="43" spans="1:6" ht="13.75" customHeight="1" x14ac:dyDescent="0.15">
      <c r="A43" s="13"/>
      <c r="B43" s="1194">
        <v>2.66</v>
      </c>
      <c r="C43" s="1194">
        <v>4.6425757999999998E-2</v>
      </c>
      <c r="D43" s="1194">
        <v>2.6099999999999999E-3</v>
      </c>
      <c r="E43" s="1194">
        <v>4.9035757999999999E-2</v>
      </c>
      <c r="F43" s="1195">
        <v>3.8</v>
      </c>
    </row>
    <row r="44" spans="1:6" ht="13.75" customHeight="1" x14ac:dyDescent="0.15">
      <c r="A44" s="13"/>
      <c r="B44" s="1194">
        <v>2.73</v>
      </c>
      <c r="C44" s="1194">
        <v>4.7647489000000001E-2</v>
      </c>
      <c r="D44" s="1194">
        <v>2.6050000000000001E-3</v>
      </c>
      <c r="E44" s="1194">
        <v>5.0252488999999997E-2</v>
      </c>
      <c r="F44" s="1195">
        <v>3.9</v>
      </c>
    </row>
    <row r="45" spans="1:6" ht="13.75" customHeight="1" x14ac:dyDescent="0.15">
      <c r="A45" s="13"/>
      <c r="B45" s="1194">
        <v>2.8</v>
      </c>
      <c r="C45" s="1194">
        <v>4.8869218999999998E-2</v>
      </c>
      <c r="D45" s="1194">
        <v>2.5999999999999999E-3</v>
      </c>
      <c r="E45" s="1194">
        <v>5.1469218999999997E-2</v>
      </c>
      <c r="F45" s="1195">
        <v>4</v>
      </c>
    </row>
    <row r="46" spans="1:6" ht="13.75" customHeight="1" x14ac:dyDescent="0.15">
      <c r="A46" s="13"/>
      <c r="B46" s="1194">
        <v>2.87</v>
      </c>
      <c r="C46" s="1194">
        <v>5.0090950000000002E-2</v>
      </c>
      <c r="D46" s="1194">
        <v>2.5950000000000001E-3</v>
      </c>
      <c r="E46" s="1194">
        <v>5.2685950000000002E-2</v>
      </c>
      <c r="F46" s="1195">
        <v>4.0999999999999996</v>
      </c>
    </row>
    <row r="47" spans="1:6" ht="13.75" customHeight="1" x14ac:dyDescent="0.15">
      <c r="A47" s="13"/>
      <c r="B47" s="1194">
        <v>2.94</v>
      </c>
      <c r="C47" s="1194">
        <v>5.1312679999999999E-2</v>
      </c>
      <c r="D47" s="1194">
        <v>2.5899999999999999E-3</v>
      </c>
      <c r="E47" s="1194">
        <v>5.3902680000000001E-2</v>
      </c>
      <c r="F47" s="1195">
        <v>4.2</v>
      </c>
    </row>
    <row r="48" spans="1:6" ht="13.75" customHeight="1" x14ac:dyDescent="0.15">
      <c r="A48" s="13"/>
      <c r="B48" s="1194">
        <v>3.01</v>
      </c>
      <c r="C48" s="1194">
        <v>5.2534409999999997E-2</v>
      </c>
      <c r="D48" s="1194">
        <v>2.5850000000000001E-3</v>
      </c>
      <c r="E48" s="1194">
        <v>5.5119410000000001E-2</v>
      </c>
      <c r="F48" s="1195">
        <v>4.3</v>
      </c>
    </row>
    <row r="49" spans="1:6" ht="13.75" customHeight="1" x14ac:dyDescent="0.15">
      <c r="A49" s="13"/>
      <c r="B49" s="1194">
        <v>3.08</v>
      </c>
      <c r="C49" s="1194">
        <v>5.3756141E-2</v>
      </c>
      <c r="D49" s="1194">
        <v>2.5799999999999998E-3</v>
      </c>
      <c r="E49" s="1194">
        <v>5.6336140999999999E-2</v>
      </c>
      <c r="F49" s="1195">
        <v>4.4000000000000004</v>
      </c>
    </row>
    <row r="50" spans="1:6" ht="13.75" customHeight="1" x14ac:dyDescent="0.15">
      <c r="A50" s="13"/>
      <c r="B50" s="1194">
        <v>3.15</v>
      </c>
      <c r="C50" s="1194">
        <v>5.4977870999999998E-2</v>
      </c>
      <c r="D50" s="1194">
        <v>2.575E-3</v>
      </c>
      <c r="E50" s="1194">
        <v>5.7552870999999999E-2</v>
      </c>
      <c r="F50" s="1195">
        <v>4.5</v>
      </c>
    </row>
    <row r="51" spans="1:6" ht="13.75" customHeight="1" x14ac:dyDescent="0.15">
      <c r="A51" s="13"/>
      <c r="B51" s="1194">
        <v>3.22</v>
      </c>
      <c r="C51" s="1194">
        <v>5.6199602000000001E-2</v>
      </c>
      <c r="D51" s="1194">
        <v>2.5699999999999998E-3</v>
      </c>
      <c r="E51" s="1194">
        <v>5.8769601999999997E-2</v>
      </c>
      <c r="F51" s="1195">
        <v>4.5999999999999996</v>
      </c>
    </row>
    <row r="52" spans="1:6" ht="13.75" customHeight="1" x14ac:dyDescent="0.15">
      <c r="A52" s="13"/>
      <c r="B52" s="1194">
        <v>3.29</v>
      </c>
      <c r="C52" s="1194">
        <v>5.7421331999999999E-2</v>
      </c>
      <c r="D52" s="1194">
        <v>2.565E-3</v>
      </c>
      <c r="E52" s="1194">
        <v>5.9986332000000003E-2</v>
      </c>
      <c r="F52" s="1195">
        <v>4.7</v>
      </c>
    </row>
    <row r="53" spans="1:6" ht="13.75" customHeight="1" x14ac:dyDescent="0.15">
      <c r="A53" s="13"/>
      <c r="B53" s="1194">
        <v>3.36</v>
      </c>
      <c r="C53" s="1194">
        <v>5.8643063000000002E-2</v>
      </c>
      <c r="D53" s="1194">
        <v>2.5600000000000002E-3</v>
      </c>
      <c r="E53" s="1194">
        <v>6.1203063000000002E-2</v>
      </c>
      <c r="F53" s="1195">
        <v>4.8</v>
      </c>
    </row>
    <row r="54" spans="1:6" ht="13.75" customHeight="1" x14ac:dyDescent="0.15">
      <c r="A54" s="13"/>
      <c r="B54" s="1194">
        <v>3.43</v>
      </c>
      <c r="C54" s="1194">
        <v>5.9864792999999999E-2</v>
      </c>
      <c r="D54" s="1194">
        <v>2.555E-3</v>
      </c>
      <c r="E54" s="1194">
        <v>6.2419793000000001E-2</v>
      </c>
      <c r="F54" s="1195">
        <v>4.9000000000000004</v>
      </c>
    </row>
    <row r="55" spans="1:6" ht="13.75" customHeight="1" x14ac:dyDescent="0.15">
      <c r="A55" s="13"/>
      <c r="B55" s="1194">
        <v>3.5</v>
      </c>
      <c r="C55" s="1194">
        <v>6.1086524000000003E-2</v>
      </c>
      <c r="D55" s="1194">
        <v>2.5500000000000002E-3</v>
      </c>
      <c r="E55" s="1194">
        <v>6.3636524E-2</v>
      </c>
      <c r="F55" s="1195">
        <v>5</v>
      </c>
    </row>
    <row r="56" spans="1:6" ht="13.75" customHeight="1" x14ac:dyDescent="0.15">
      <c r="A56" s="13"/>
      <c r="B56" s="1194">
        <v>3.57</v>
      </c>
      <c r="C56" s="1194">
        <v>6.2308254E-2</v>
      </c>
      <c r="D56" s="1194">
        <v>2.545E-3</v>
      </c>
      <c r="E56" s="1194">
        <v>6.4853253999999999E-2</v>
      </c>
      <c r="F56" s="1195">
        <v>5.0999999999999996</v>
      </c>
    </row>
    <row r="57" spans="1:6" ht="13.75" customHeight="1" x14ac:dyDescent="0.15">
      <c r="A57" s="13"/>
      <c r="B57" s="1194">
        <v>3.64</v>
      </c>
      <c r="C57" s="1194">
        <v>6.3529984999999997E-2</v>
      </c>
      <c r="D57" s="1194">
        <v>2.5400000000000002E-3</v>
      </c>
      <c r="E57" s="1194">
        <v>6.6069984999999998E-2</v>
      </c>
      <c r="F57" s="1195">
        <v>5.2</v>
      </c>
    </row>
    <row r="58" spans="1:6" ht="13.75" customHeight="1" x14ac:dyDescent="0.15">
      <c r="A58" s="13"/>
      <c r="B58" s="1194">
        <v>3.71</v>
      </c>
      <c r="C58" s="1194">
        <v>6.4751715000000001E-2</v>
      </c>
      <c r="D58" s="1194">
        <v>2.5349999999999999E-3</v>
      </c>
      <c r="E58" s="1194">
        <v>6.7286714999999997E-2</v>
      </c>
      <c r="F58" s="1195">
        <v>5.3</v>
      </c>
    </row>
    <row r="59" spans="1:6" ht="13.75" customHeight="1" x14ac:dyDescent="0.15">
      <c r="A59" s="13"/>
      <c r="B59" s="1194">
        <v>3.78</v>
      </c>
      <c r="C59" s="1194">
        <v>6.5973446000000005E-2</v>
      </c>
      <c r="D59" s="1194">
        <v>2.5300000000000001E-3</v>
      </c>
      <c r="E59" s="1194">
        <v>6.8503445999999996E-2</v>
      </c>
      <c r="F59" s="1195">
        <v>5.4</v>
      </c>
    </row>
    <row r="60" spans="1:6" ht="13.75" customHeight="1" x14ac:dyDescent="0.15">
      <c r="A60" s="13"/>
      <c r="B60" s="1194">
        <v>3.85</v>
      </c>
      <c r="C60" s="1194">
        <v>6.7195175999999995E-2</v>
      </c>
      <c r="D60" s="1194">
        <v>2.5249999999999999E-3</v>
      </c>
      <c r="E60" s="1194">
        <v>6.9720175999999995E-2</v>
      </c>
      <c r="F60" s="1195">
        <v>5.5</v>
      </c>
    </row>
    <row r="61" spans="1:6" ht="13.75" customHeight="1" x14ac:dyDescent="0.15">
      <c r="A61" s="13"/>
      <c r="B61" s="1194">
        <v>3.92</v>
      </c>
      <c r="C61" s="1194">
        <v>6.8416906999999999E-2</v>
      </c>
      <c r="D61" s="1194">
        <v>2.5200000000000001E-3</v>
      </c>
      <c r="E61" s="1194">
        <v>7.0936906999999993E-2</v>
      </c>
      <c r="F61" s="1195">
        <v>5.6</v>
      </c>
    </row>
    <row r="62" spans="1:6" ht="13.75" customHeight="1" x14ac:dyDescent="0.15">
      <c r="A62" s="13"/>
      <c r="B62" s="1194">
        <v>3.99</v>
      </c>
      <c r="C62" s="1194">
        <v>6.9638637000000003E-2</v>
      </c>
      <c r="D62" s="1194">
        <v>2.5149999999999999E-3</v>
      </c>
      <c r="E62" s="1194">
        <v>7.2153637000000007E-2</v>
      </c>
      <c r="F62" s="1195">
        <v>5.7</v>
      </c>
    </row>
    <row r="63" spans="1:6" ht="13.75" customHeight="1" x14ac:dyDescent="0.15">
      <c r="A63" s="13"/>
      <c r="B63" s="1194">
        <v>4.0599999999999996</v>
      </c>
      <c r="C63" s="1194">
        <v>7.0860368000000007E-2</v>
      </c>
      <c r="D63" s="1194">
        <v>2.5100000000000001E-3</v>
      </c>
      <c r="E63" s="1194">
        <v>7.3370368000000005E-2</v>
      </c>
      <c r="F63" s="1195">
        <v>5.8</v>
      </c>
    </row>
    <row r="64" spans="1:6" ht="13.75" customHeight="1" x14ac:dyDescent="0.15">
      <c r="A64" s="13"/>
      <c r="B64" s="1194">
        <v>4.13</v>
      </c>
      <c r="C64" s="1194">
        <v>7.2082097999999997E-2</v>
      </c>
      <c r="D64" s="1194">
        <v>2.5049999999999998E-3</v>
      </c>
      <c r="E64" s="1194">
        <v>7.4587098000000004E-2</v>
      </c>
      <c r="F64" s="1195">
        <v>5.9</v>
      </c>
    </row>
    <row r="65" spans="1:6" ht="13.75" customHeight="1" x14ac:dyDescent="0.15">
      <c r="A65" s="13"/>
      <c r="B65" s="1194">
        <v>4.2</v>
      </c>
      <c r="C65" s="1194">
        <v>7.3303829000000001E-2</v>
      </c>
      <c r="D65" s="1194">
        <v>2.5000000000000001E-3</v>
      </c>
      <c r="E65" s="1194">
        <v>7.5803829000000003E-2</v>
      </c>
      <c r="F65" s="1195">
        <v>6</v>
      </c>
    </row>
    <row r="66" spans="1:6" ht="13.75" customHeight="1" x14ac:dyDescent="0.15">
      <c r="A66" s="13"/>
      <c r="B66" s="1194">
        <v>4.2699999999999996</v>
      </c>
      <c r="C66" s="1194">
        <v>7.4525559000000005E-2</v>
      </c>
      <c r="D66" s="1194">
        <v>2.4949999999999998E-3</v>
      </c>
      <c r="E66" s="1194">
        <v>7.7020559000000002E-2</v>
      </c>
      <c r="F66" s="1195">
        <v>6.1</v>
      </c>
    </row>
    <row r="67" spans="1:6" ht="13.75" customHeight="1" x14ac:dyDescent="0.15">
      <c r="A67" s="13"/>
      <c r="B67" s="1194">
        <v>4.34</v>
      </c>
      <c r="C67" s="1194">
        <v>7.5747289999999995E-2</v>
      </c>
      <c r="D67" s="1194">
        <v>2.49E-3</v>
      </c>
      <c r="E67" s="1194">
        <v>7.8237290000000001E-2</v>
      </c>
      <c r="F67" s="1195">
        <v>6.2</v>
      </c>
    </row>
    <row r="68" spans="1:6" ht="13.75" customHeight="1" x14ac:dyDescent="0.15">
      <c r="A68" s="13"/>
      <c r="B68" s="1194">
        <v>4.41</v>
      </c>
      <c r="C68" s="1194">
        <v>7.6969019999999999E-2</v>
      </c>
      <c r="D68" s="1194">
        <v>2.4849999999999998E-3</v>
      </c>
      <c r="E68" s="1194">
        <v>7.945402E-2</v>
      </c>
      <c r="F68" s="1195">
        <v>6.3</v>
      </c>
    </row>
    <row r="69" spans="1:6" ht="13.75" customHeight="1" x14ac:dyDescent="0.15">
      <c r="A69" s="13"/>
      <c r="B69" s="1194">
        <v>4.4800000000000004</v>
      </c>
      <c r="C69" s="1194">
        <v>7.8190750000000003E-2</v>
      </c>
      <c r="D69" s="1194">
        <v>2.48E-3</v>
      </c>
      <c r="E69" s="1194">
        <v>8.0670749999999999E-2</v>
      </c>
      <c r="F69" s="1195">
        <v>6.4</v>
      </c>
    </row>
    <row r="70" spans="1:6" ht="13.75" customHeight="1" x14ac:dyDescent="0.15">
      <c r="A70" s="13"/>
      <c r="B70" s="1194">
        <v>4.55</v>
      </c>
      <c r="C70" s="1194">
        <v>7.9412480999999993E-2</v>
      </c>
      <c r="D70" s="1194">
        <v>2.4750000000000002E-3</v>
      </c>
      <c r="E70" s="1194">
        <v>8.1887480999999998E-2</v>
      </c>
      <c r="F70" s="1195">
        <v>6.5</v>
      </c>
    </row>
    <row r="71" spans="1:6" ht="13.75" customHeight="1" x14ac:dyDescent="0.15">
      <c r="A71" s="13"/>
      <c r="B71" s="1194">
        <v>4.62</v>
      </c>
      <c r="C71" s="1194">
        <v>8.0634210999999997E-2</v>
      </c>
      <c r="D71" s="1194">
        <v>2.47E-3</v>
      </c>
      <c r="E71" s="1194">
        <v>8.3104210999999997E-2</v>
      </c>
      <c r="F71" s="1195">
        <v>6.6</v>
      </c>
    </row>
    <row r="72" spans="1:6" ht="13.75" customHeight="1" x14ac:dyDescent="0.15">
      <c r="A72" s="13"/>
      <c r="B72" s="1194">
        <v>4.6900000000000004</v>
      </c>
      <c r="C72" s="1194">
        <v>8.1855942000000001E-2</v>
      </c>
      <c r="D72" s="1194">
        <v>2.4650000000000002E-3</v>
      </c>
      <c r="E72" s="1194">
        <v>8.4320941999999996E-2</v>
      </c>
      <c r="F72" s="1195">
        <v>6.7</v>
      </c>
    </row>
    <row r="73" spans="1:6" ht="13.75" customHeight="1" x14ac:dyDescent="0.15">
      <c r="A73" s="13"/>
      <c r="B73" s="1194">
        <v>4.76</v>
      </c>
      <c r="C73" s="1194">
        <v>8.3077672000000005E-2</v>
      </c>
      <c r="D73" s="1194">
        <v>2.4599999999999999E-3</v>
      </c>
      <c r="E73" s="1194">
        <v>8.5537671999999995E-2</v>
      </c>
      <c r="F73" s="1195">
        <v>6.8</v>
      </c>
    </row>
    <row r="74" spans="1:6" ht="13.75" customHeight="1" x14ac:dyDescent="0.15">
      <c r="A74" s="13"/>
      <c r="B74" s="1194">
        <v>4.83</v>
      </c>
      <c r="C74" s="1194">
        <v>8.4299402999999995E-2</v>
      </c>
      <c r="D74" s="1194">
        <v>2.4550000000000002E-3</v>
      </c>
      <c r="E74" s="1194">
        <v>8.6754402999999994E-2</v>
      </c>
      <c r="F74" s="1195">
        <v>6.9</v>
      </c>
    </row>
    <row r="75" spans="1:6" ht="13.75" customHeight="1" x14ac:dyDescent="0.15">
      <c r="A75" s="13"/>
      <c r="B75" s="1194">
        <v>4.9000000000000004</v>
      </c>
      <c r="C75" s="1194">
        <v>8.5521132999999999E-2</v>
      </c>
      <c r="D75" s="1194">
        <v>2.4499999999999999E-3</v>
      </c>
      <c r="E75" s="1194">
        <v>8.7971133000000007E-2</v>
      </c>
      <c r="F75" s="1195">
        <v>7</v>
      </c>
    </row>
    <row r="76" spans="1:6" ht="13.75" customHeight="1" x14ac:dyDescent="0.15">
      <c r="A76" s="13"/>
      <c r="B76" s="1194">
        <v>4.97</v>
      </c>
      <c r="C76" s="1194">
        <v>8.6742864000000003E-2</v>
      </c>
      <c r="D76" s="1194">
        <v>2.4450000000000001E-3</v>
      </c>
      <c r="E76" s="1194">
        <v>8.9187864000000006E-2</v>
      </c>
      <c r="F76" s="1195">
        <v>7.1</v>
      </c>
    </row>
    <row r="77" spans="1:6" ht="13.75" customHeight="1" x14ac:dyDescent="0.15">
      <c r="A77" s="13"/>
      <c r="B77" s="1194">
        <v>5.04</v>
      </c>
      <c r="C77" s="1194">
        <v>8.7964593999999993E-2</v>
      </c>
      <c r="D77" s="1194">
        <v>2.4399999999999999E-3</v>
      </c>
      <c r="E77" s="1194">
        <v>9.0404594000000005E-2</v>
      </c>
      <c r="F77" s="1195">
        <v>7.2</v>
      </c>
    </row>
    <row r="78" spans="1:6" ht="13.75" customHeight="1" x14ac:dyDescent="0.15">
      <c r="A78" s="13"/>
      <c r="B78" s="1194">
        <v>5.1100000000000003</v>
      </c>
      <c r="C78" s="1194">
        <v>8.9186324999999997E-2</v>
      </c>
      <c r="D78" s="1194">
        <v>2.4350000000000001E-3</v>
      </c>
      <c r="E78" s="1194">
        <v>9.1621325000000003E-2</v>
      </c>
      <c r="F78" s="1195">
        <v>7.3</v>
      </c>
    </row>
    <row r="79" spans="1:6" ht="13.75" customHeight="1" x14ac:dyDescent="0.15">
      <c r="A79" s="13"/>
      <c r="B79" s="1194">
        <v>5.18</v>
      </c>
      <c r="C79" s="1194">
        <v>9.0408055000000001E-2</v>
      </c>
      <c r="D79" s="1194">
        <v>2.4299999999999999E-3</v>
      </c>
      <c r="E79" s="1194">
        <v>9.2838055000000003E-2</v>
      </c>
      <c r="F79" s="1195">
        <v>7.4</v>
      </c>
    </row>
    <row r="80" spans="1:6" ht="13.75" customHeight="1" x14ac:dyDescent="0.15">
      <c r="A80" s="13"/>
      <c r="B80" s="1194">
        <v>5.25</v>
      </c>
      <c r="C80" s="1194">
        <v>9.1629786000000005E-2</v>
      </c>
      <c r="D80" s="1194">
        <v>2.4250000000000001E-3</v>
      </c>
      <c r="E80" s="1194">
        <v>9.4054786000000001E-2</v>
      </c>
      <c r="F80" s="1195">
        <v>7.5</v>
      </c>
    </row>
    <row r="81" spans="1:6" ht="13.75" customHeight="1" x14ac:dyDescent="0.15">
      <c r="A81" s="13"/>
      <c r="B81" s="1194">
        <v>5.32</v>
      </c>
      <c r="C81" s="1194">
        <v>9.2851515999999995E-2</v>
      </c>
      <c r="D81" s="1194">
        <v>2.4199999999999998E-3</v>
      </c>
      <c r="E81" s="1194">
        <v>9.5271516000000001E-2</v>
      </c>
      <c r="F81" s="1195">
        <v>7.6</v>
      </c>
    </row>
    <row r="82" spans="1:6" ht="13.75" customHeight="1" x14ac:dyDescent="0.15">
      <c r="A82" s="13"/>
      <c r="B82" s="1194">
        <v>5.39</v>
      </c>
      <c r="C82" s="1194">
        <v>9.4073246999999999E-2</v>
      </c>
      <c r="D82" s="1194">
        <v>2.415E-3</v>
      </c>
      <c r="E82" s="1194">
        <v>9.6488246999999999E-2</v>
      </c>
      <c r="F82" s="1195">
        <v>7.7</v>
      </c>
    </row>
    <row r="83" spans="1:6" ht="13.75" customHeight="1" x14ac:dyDescent="0.15">
      <c r="A83" s="13"/>
      <c r="B83" s="1194">
        <v>5.46</v>
      </c>
      <c r="C83" s="1194">
        <v>9.5294977000000003E-2</v>
      </c>
      <c r="D83" s="1194">
        <v>2.4099999999999998E-3</v>
      </c>
      <c r="E83" s="1194">
        <v>9.7704976999999998E-2</v>
      </c>
      <c r="F83" s="1195">
        <v>7.8</v>
      </c>
    </row>
    <row r="84" spans="1:6" ht="13.75" customHeight="1" x14ac:dyDescent="0.15">
      <c r="A84" s="13"/>
      <c r="B84" s="1194">
        <v>5.53</v>
      </c>
      <c r="C84" s="1194">
        <v>9.6516708000000007E-2</v>
      </c>
      <c r="D84" s="1194">
        <v>2.405E-3</v>
      </c>
      <c r="E84" s="1194">
        <v>9.8921707999999997E-2</v>
      </c>
      <c r="F84" s="1195">
        <v>7.9</v>
      </c>
    </row>
    <row r="85" spans="1:6" ht="13.75" customHeight="1" x14ac:dyDescent="0.15">
      <c r="A85" s="13"/>
      <c r="B85" s="1194">
        <v>5.6</v>
      </c>
      <c r="C85" s="1194">
        <v>9.7738437999999997E-2</v>
      </c>
      <c r="D85" s="1194">
        <v>2.3999999999999998E-3</v>
      </c>
      <c r="E85" s="1194">
        <v>0.100138438</v>
      </c>
      <c r="F85" s="1195">
        <v>8</v>
      </c>
    </row>
    <row r="86" spans="1:6" ht="13.75" customHeight="1" x14ac:dyDescent="0.15">
      <c r="A86" s="13"/>
      <c r="B86" s="1194">
        <v>5.67</v>
      </c>
      <c r="C86" s="1194">
        <v>9.8960169000000001E-2</v>
      </c>
      <c r="D86" s="1194">
        <v>2.395E-3</v>
      </c>
      <c r="E86" s="1194">
        <v>0.10135516899999999</v>
      </c>
      <c r="F86" s="1195">
        <v>8.1</v>
      </c>
    </row>
    <row r="87" spans="1:6" ht="13.75" customHeight="1" x14ac:dyDescent="0.15">
      <c r="A87" s="13"/>
      <c r="B87" s="1194">
        <v>5.74</v>
      </c>
      <c r="C87" s="1194">
        <v>0.100181899</v>
      </c>
      <c r="D87" s="1194">
        <v>2.3900000000000002E-3</v>
      </c>
      <c r="E87" s="1194">
        <v>0.10257189899999999</v>
      </c>
      <c r="F87" s="1195">
        <v>8.1999999999999993</v>
      </c>
    </row>
    <row r="88" spans="1:6" ht="13.75" customHeight="1" x14ac:dyDescent="0.15">
      <c r="A88" s="13"/>
      <c r="B88" s="1194">
        <v>5.81</v>
      </c>
      <c r="C88" s="1194">
        <v>0.10140362999999999</v>
      </c>
      <c r="D88" s="1194">
        <v>2.385E-3</v>
      </c>
      <c r="E88" s="1194">
        <v>0.10378863000000001</v>
      </c>
      <c r="F88" s="1195">
        <v>8.3000000000000007</v>
      </c>
    </row>
    <row r="89" spans="1:6" ht="13.75" customHeight="1" x14ac:dyDescent="0.15">
      <c r="A89" s="13"/>
      <c r="B89" s="1194">
        <v>5.88</v>
      </c>
      <c r="C89" s="1194">
        <v>0.10262536</v>
      </c>
      <c r="D89" s="1194">
        <v>2.3800000000000002E-3</v>
      </c>
      <c r="E89" s="1194">
        <v>0.10500536000000001</v>
      </c>
      <c r="F89" s="1195">
        <v>8.4</v>
      </c>
    </row>
    <row r="90" spans="1:6" ht="13.75" customHeight="1" x14ac:dyDescent="0.15">
      <c r="A90" s="13"/>
      <c r="B90" s="1194">
        <v>5.95</v>
      </c>
      <c r="C90" s="1194">
        <v>0.10384709</v>
      </c>
      <c r="D90" s="1194">
        <v>2.3749999999999999E-3</v>
      </c>
      <c r="E90" s="1194">
        <v>0.10622209000000001</v>
      </c>
      <c r="F90" s="1195">
        <v>8.5</v>
      </c>
    </row>
    <row r="91" spans="1:6" ht="13.75" customHeight="1" x14ac:dyDescent="0.15">
      <c r="A91" s="13"/>
      <c r="B91" s="1194">
        <v>6.02</v>
      </c>
      <c r="C91" s="1194">
        <v>0.10506882100000001</v>
      </c>
      <c r="D91" s="1194">
        <v>2.3700000000000001E-3</v>
      </c>
      <c r="E91" s="1194">
        <v>0.107438821</v>
      </c>
      <c r="F91" s="1195">
        <v>8.6</v>
      </c>
    </row>
    <row r="92" spans="1:6" ht="13.75" customHeight="1" x14ac:dyDescent="0.15">
      <c r="A92" s="13"/>
      <c r="B92" s="1194">
        <v>6.09</v>
      </c>
      <c r="C92" s="1194">
        <v>0.106290551</v>
      </c>
      <c r="D92" s="1194">
        <v>2.3649999999999999E-3</v>
      </c>
      <c r="E92" s="1194">
        <v>0.108655551</v>
      </c>
      <c r="F92" s="1195">
        <v>8.6999999999999993</v>
      </c>
    </row>
    <row r="93" spans="1:6" ht="13.75" customHeight="1" x14ac:dyDescent="0.15">
      <c r="A93" s="13"/>
      <c r="B93" s="1194">
        <v>6.16</v>
      </c>
      <c r="C93" s="1194">
        <v>0.107512282</v>
      </c>
      <c r="D93" s="1194">
        <v>2.3600000000000001E-3</v>
      </c>
      <c r="E93" s="1194">
        <v>0.109872282</v>
      </c>
      <c r="F93" s="1195">
        <v>8.8000000000000007</v>
      </c>
    </row>
    <row r="94" spans="1:6" ht="13.75" customHeight="1" x14ac:dyDescent="0.15">
      <c r="A94" s="13"/>
      <c r="B94" s="1194">
        <v>6.23</v>
      </c>
      <c r="C94" s="1194">
        <v>0.108734012</v>
      </c>
      <c r="D94" s="1194">
        <v>2.3549999999999999E-3</v>
      </c>
      <c r="E94" s="1194">
        <v>0.111089012</v>
      </c>
      <c r="F94" s="1195">
        <v>8.9</v>
      </c>
    </row>
    <row r="95" spans="1:6" ht="13.75" customHeight="1" x14ac:dyDescent="0.15">
      <c r="A95" s="13"/>
      <c r="B95" s="1194">
        <v>6.3</v>
      </c>
      <c r="C95" s="1194">
        <v>0.10995574299999999</v>
      </c>
      <c r="D95" s="1194">
        <v>2.3500000000000001E-3</v>
      </c>
      <c r="E95" s="1194">
        <v>0.112305743</v>
      </c>
      <c r="F95" s="1195">
        <v>9</v>
      </c>
    </row>
    <row r="96" spans="1:6" ht="13.75" customHeight="1" x14ac:dyDescent="0.15">
      <c r="A96" s="13"/>
      <c r="B96" s="1194">
        <v>6.37</v>
      </c>
      <c r="C96" s="1194">
        <v>0.111177473</v>
      </c>
      <c r="D96" s="1194">
        <v>2.3449999999999999E-3</v>
      </c>
      <c r="E96" s="1194">
        <v>0.113522473</v>
      </c>
      <c r="F96" s="1195">
        <v>9.1</v>
      </c>
    </row>
    <row r="97" spans="1:6" ht="13.75" customHeight="1" x14ac:dyDescent="0.15">
      <c r="A97" s="13"/>
      <c r="B97" s="1194">
        <v>6.44</v>
      </c>
      <c r="C97" s="1194">
        <v>0.112399204</v>
      </c>
      <c r="D97" s="1194">
        <v>2.3400000000000001E-3</v>
      </c>
      <c r="E97" s="1194">
        <v>0.114739204</v>
      </c>
      <c r="F97" s="1195">
        <v>9.1999999999999993</v>
      </c>
    </row>
    <row r="98" spans="1:6" ht="13.75" customHeight="1" x14ac:dyDescent="0.15">
      <c r="A98" s="13"/>
      <c r="B98" s="1194">
        <v>6.51</v>
      </c>
      <c r="C98" s="1194">
        <v>0.11362093400000001</v>
      </c>
      <c r="D98" s="1194">
        <v>2.3349999999999998E-3</v>
      </c>
      <c r="E98" s="1194">
        <v>0.115955934</v>
      </c>
      <c r="F98" s="1195">
        <v>9.3000000000000007</v>
      </c>
    </row>
    <row r="99" spans="1:6" ht="13.75" customHeight="1" x14ac:dyDescent="0.15">
      <c r="A99" s="13"/>
      <c r="B99" s="1194">
        <v>6.58</v>
      </c>
      <c r="C99" s="1194">
        <v>0.114842665</v>
      </c>
      <c r="D99" s="1194">
        <v>2.33E-3</v>
      </c>
      <c r="E99" s="1194">
        <v>0.117172665</v>
      </c>
      <c r="F99" s="1195">
        <v>9.4</v>
      </c>
    </row>
    <row r="100" spans="1:6" ht="13.75" customHeight="1" x14ac:dyDescent="0.15">
      <c r="A100" s="13"/>
      <c r="B100" s="1194">
        <v>6.65</v>
      </c>
      <c r="C100" s="1194">
        <v>0.116064395</v>
      </c>
      <c r="D100" s="1194">
        <v>2.3249999999999998E-3</v>
      </c>
      <c r="E100" s="1194">
        <v>0.11838939499999999</v>
      </c>
      <c r="F100" s="1195">
        <v>9.5</v>
      </c>
    </row>
    <row r="101" spans="1:6" ht="13.75" customHeight="1" x14ac:dyDescent="0.15">
      <c r="A101" s="13"/>
      <c r="B101" s="1194">
        <v>6.72</v>
      </c>
      <c r="C101" s="1194">
        <v>0.117286126</v>
      </c>
      <c r="D101" s="1194">
        <v>2.32E-3</v>
      </c>
      <c r="E101" s="1194">
        <v>0.11960612599999999</v>
      </c>
      <c r="F101" s="1195">
        <v>9.6</v>
      </c>
    </row>
    <row r="102" spans="1:6" ht="13.75" customHeight="1" x14ac:dyDescent="0.15">
      <c r="A102" s="13"/>
      <c r="B102" s="1194">
        <v>6.79</v>
      </c>
      <c r="C102" s="1194">
        <v>0.11850785599999999</v>
      </c>
      <c r="D102" s="1194">
        <v>2.3149999999999998E-3</v>
      </c>
      <c r="E102" s="1194">
        <v>0.12082285600000001</v>
      </c>
      <c r="F102" s="1195">
        <v>9.6999999999999993</v>
      </c>
    </row>
    <row r="103" spans="1:6" ht="13.75" customHeight="1" x14ac:dyDescent="0.15">
      <c r="A103" s="13"/>
      <c r="B103" s="1194">
        <v>6.86</v>
      </c>
      <c r="C103" s="1194">
        <v>0.119729587</v>
      </c>
      <c r="D103" s="1194">
        <v>2.31E-3</v>
      </c>
      <c r="E103" s="1194">
        <v>0.122039587</v>
      </c>
      <c r="F103" s="1195">
        <v>9.8000000000000007</v>
      </c>
    </row>
    <row r="104" spans="1:6" ht="13.75" customHeight="1" x14ac:dyDescent="0.15">
      <c r="A104" s="13"/>
      <c r="B104" s="1194">
        <v>6.93</v>
      </c>
      <c r="C104" s="1194">
        <v>0.120951317</v>
      </c>
      <c r="D104" s="1194">
        <v>2.3050000000000002E-3</v>
      </c>
      <c r="E104" s="1194">
        <v>0.123256317</v>
      </c>
      <c r="F104" s="1195">
        <v>9.9</v>
      </c>
    </row>
    <row r="105" spans="1:6" ht="13.75" customHeight="1" x14ac:dyDescent="0.15">
      <c r="A105" s="108"/>
      <c r="B105" s="1196">
        <v>7</v>
      </c>
      <c r="C105" s="1196">
        <v>0.12217304800000001</v>
      </c>
      <c r="D105" s="1196">
        <v>2.3E-3</v>
      </c>
      <c r="E105" s="1196">
        <v>0.124473048</v>
      </c>
      <c r="F105" s="1197">
        <v>10</v>
      </c>
    </row>
  </sheetData>
  <pageMargins left="0.7" right="0.7" top="0.75" bottom="0.75" header="0.51180599999999998" footer="0.51180599999999998"/>
  <pageSetup orientation="portrait"/>
  <headerFooter>
    <oddFooter>&amp;C&amp;"Helvetica Neue,Regular"&amp;12&amp;K000000&amp;P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5"/>
  <sheetViews>
    <sheetView showGridLines="0" workbookViewId="0">
      <selection activeCell="I119" sqref="I119"/>
    </sheetView>
  </sheetViews>
  <sheetFormatPr baseColWidth="10" defaultColWidth="8.83203125" defaultRowHeight="13" customHeight="1" x14ac:dyDescent="0.15"/>
  <cols>
    <col min="1" max="1" width="14.6640625" style="1600" customWidth="1"/>
    <col min="2" max="2" width="1.6640625" style="1600" customWidth="1"/>
    <col min="3" max="3" width="7.5" style="1600" customWidth="1"/>
    <col min="4" max="4" width="1.6640625" style="1600" customWidth="1"/>
    <col min="5" max="5" width="11" style="1600" customWidth="1"/>
    <col min="6" max="6" width="13.5" style="1600" customWidth="1"/>
    <col min="7" max="10" width="11" style="1600" customWidth="1"/>
    <col min="11" max="11" width="12.83203125" style="1600" customWidth="1"/>
    <col min="12" max="12" width="11" style="1600" customWidth="1"/>
    <col min="13" max="13" width="12.83203125" style="1600" customWidth="1"/>
    <col min="14" max="14" width="13.6640625" style="1600" customWidth="1"/>
    <col min="15" max="15" width="10.5" style="1600" customWidth="1"/>
    <col min="16" max="16" width="20.6640625" style="1600" customWidth="1"/>
    <col min="17" max="17" width="7.5" style="1600" customWidth="1"/>
    <col min="18" max="18" width="16" style="1602" customWidth="1"/>
    <col min="19" max="256" width="8.83203125" style="1543" customWidth="1"/>
    <col min="257" max="16384" width="8.83203125" style="1543"/>
  </cols>
  <sheetData>
    <row r="1" spans="1:18" ht="13.75" customHeight="1" x14ac:dyDescent="0.15">
      <c r="A1" s="1540"/>
      <c r="B1" s="1541"/>
      <c r="C1" s="1542"/>
      <c r="D1" s="1541"/>
      <c r="E1" s="1541"/>
      <c r="F1" s="1541"/>
      <c r="G1" s="1541"/>
      <c r="H1" s="1541"/>
      <c r="I1" s="1541"/>
      <c r="J1" s="1541"/>
      <c r="K1" s="1541"/>
      <c r="L1" s="1541"/>
      <c r="M1" s="1541"/>
      <c r="N1" s="1542"/>
      <c r="O1" s="1542"/>
      <c r="P1" s="1541"/>
      <c r="Q1" s="1541"/>
      <c r="R1" s="1541"/>
    </row>
    <row r="2" spans="1:18" ht="30" customHeight="1" x14ac:dyDescent="0.15">
      <c r="A2" s="1544" t="s">
        <v>343</v>
      </c>
      <c r="B2" s="1545"/>
      <c r="C2" s="1127" t="s">
        <v>331</v>
      </c>
      <c r="D2" s="1545"/>
      <c r="E2" s="1546" t="s">
        <v>9</v>
      </c>
      <c r="F2" s="1547" t="s">
        <v>10</v>
      </c>
      <c r="G2" s="1548" t="s">
        <v>11</v>
      </c>
      <c r="H2" s="1549" t="s">
        <v>12</v>
      </c>
      <c r="I2" s="1550" t="s">
        <v>13</v>
      </c>
      <c r="J2" s="1551" t="s">
        <v>14</v>
      </c>
      <c r="K2" s="1552" t="s">
        <v>15</v>
      </c>
      <c r="L2" s="1553" t="s">
        <v>16</v>
      </c>
      <c r="M2" s="1554" t="s">
        <v>17</v>
      </c>
      <c r="N2" s="39" t="s">
        <v>18</v>
      </c>
      <c r="O2" s="1127" t="s">
        <v>331</v>
      </c>
      <c r="P2" s="1555" t="s">
        <v>332</v>
      </c>
      <c r="Q2" s="1545"/>
      <c r="R2" s="1545"/>
    </row>
    <row r="3" spans="1:18" ht="16" customHeight="1" x14ac:dyDescent="0.15">
      <c r="A3" s="1556" t="s">
        <v>185</v>
      </c>
      <c r="B3" s="1545"/>
      <c r="C3" s="1129">
        <v>10</v>
      </c>
      <c r="D3" s="1557"/>
      <c r="E3" s="1558">
        <v>0.98058989119999995</v>
      </c>
      <c r="F3" s="1559">
        <v>0.30749950999999998</v>
      </c>
      <c r="G3" s="1560">
        <v>0.71843270000000004</v>
      </c>
      <c r="H3" s="1561">
        <v>0.98328989119999999</v>
      </c>
      <c r="I3" s="1562">
        <v>1.38133346</v>
      </c>
      <c r="J3" s="1563">
        <v>4.9509999999999996</v>
      </c>
      <c r="K3" s="1564">
        <v>9.0206322399999994</v>
      </c>
      <c r="L3" s="1565">
        <v>18.282</v>
      </c>
      <c r="M3" s="1566">
        <v>29.76607095</v>
      </c>
      <c r="N3" s="1131">
        <v>29.573391699999998</v>
      </c>
      <c r="O3" s="1129">
        <v>10</v>
      </c>
      <c r="P3" s="1567">
        <f>SUM(E3:N3)</f>
        <v>95.964240342400004</v>
      </c>
      <c r="Q3" s="1545"/>
      <c r="R3" s="1545"/>
    </row>
    <row r="4" spans="1:18" ht="14" customHeight="1" x14ac:dyDescent="0.15">
      <c r="A4" s="1568">
        <v>3.88204423E-4</v>
      </c>
      <c r="B4" s="1545"/>
      <c r="C4" s="1132">
        <v>9.9</v>
      </c>
      <c r="D4" s="1545"/>
      <c r="E4" s="1569">
        <f t="shared" ref="E4:E35" si="0">E3+0.000388204423</f>
        <v>0.98097809562299998</v>
      </c>
      <c r="F4" s="1570">
        <f t="shared" ref="F4:F35" si="1">F3+0.001591988</f>
        <v>0.30909149799999996</v>
      </c>
      <c r="G4" s="1571">
        <f t="shared" ref="G4:G35" si="2">G3+0.0000979858</f>
        <v>0.71853068580000001</v>
      </c>
      <c r="H4" s="1572">
        <f t="shared" ref="H4:H35" si="3">H3+0.000334204</f>
        <v>0.98362409519999994</v>
      </c>
      <c r="I4" s="1573">
        <f t="shared" ref="I4:I35" si="4">I3+0.002846577</f>
        <v>1.3841800369999999</v>
      </c>
      <c r="J4" s="1574">
        <f t="shared" ref="J4:J35" si="5">J3+0.00503</f>
        <v>4.9560299999999993</v>
      </c>
      <c r="K4" s="1575">
        <f t="shared" ref="K4:K35" si="6">K3+0.010328762</f>
        <v>9.0309610019999997</v>
      </c>
      <c r="L4" s="1576">
        <f t="shared" ref="L4:L35" si="7">L3+0.01814</f>
        <v>18.300139999999999</v>
      </c>
      <c r="M4" s="1577">
        <f t="shared" ref="M4:M35" si="8">M3+0.006751811</f>
        <v>29.772822761</v>
      </c>
      <c r="N4" s="1134">
        <f t="shared" ref="N4:N35" si="9">N3+0.197427559</f>
        <v>29.770819259</v>
      </c>
      <c r="O4" s="1132">
        <v>9.9</v>
      </c>
      <c r="P4" s="1578">
        <f t="shared" ref="P4:P35" si="10">P3+0.242937091</f>
        <v>96.207177433400005</v>
      </c>
      <c r="Q4" s="1579"/>
      <c r="R4" s="1545"/>
    </row>
    <row r="5" spans="1:18" ht="14" customHeight="1" x14ac:dyDescent="0.15">
      <c r="A5" s="1580">
        <f>(F103-F3)/100</f>
        <v>1.5919879999999886E-3</v>
      </c>
      <c r="B5" s="1581"/>
      <c r="C5" s="1132">
        <v>9.8000000000000007</v>
      </c>
      <c r="D5" s="1545"/>
      <c r="E5" s="1569">
        <f t="shared" si="0"/>
        <v>0.98136630004600001</v>
      </c>
      <c r="F5" s="1570">
        <f t="shared" si="1"/>
        <v>0.31068348599999995</v>
      </c>
      <c r="G5" s="1582">
        <f t="shared" si="2"/>
        <v>0.71862867159999999</v>
      </c>
      <c r="H5" s="1572">
        <f t="shared" si="3"/>
        <v>0.98395829919999989</v>
      </c>
      <c r="I5" s="1573">
        <f t="shared" si="4"/>
        <v>1.3870266139999998</v>
      </c>
      <c r="J5" s="1574">
        <f t="shared" si="5"/>
        <v>4.9610599999999989</v>
      </c>
      <c r="K5" s="1583">
        <f t="shared" si="6"/>
        <v>9.0412897640000001</v>
      </c>
      <c r="L5" s="1576">
        <f t="shared" si="7"/>
        <v>18.318279999999998</v>
      </c>
      <c r="M5" s="1577">
        <f t="shared" si="8"/>
        <v>29.779574572000001</v>
      </c>
      <c r="N5" s="1134">
        <f t="shared" si="9"/>
        <v>29.968246818000001</v>
      </c>
      <c r="O5" s="1132">
        <v>9.8000000000000007</v>
      </c>
      <c r="P5" s="1578">
        <f t="shared" si="10"/>
        <v>96.450114524400007</v>
      </c>
      <c r="Q5" s="1579"/>
      <c r="R5" s="1545"/>
    </row>
    <row r="6" spans="1:18" ht="14" customHeight="1" x14ac:dyDescent="0.15">
      <c r="A6" s="1584">
        <f>(G103-G3)/100</f>
        <v>9.7985799999977807E-5</v>
      </c>
      <c r="B6" s="1585"/>
      <c r="C6" s="1132">
        <v>9.6999999999999993</v>
      </c>
      <c r="D6" s="1545"/>
      <c r="E6" s="1569">
        <f t="shared" si="0"/>
        <v>0.98175450446900003</v>
      </c>
      <c r="F6" s="1570">
        <f t="shared" si="1"/>
        <v>0.31227547399999994</v>
      </c>
      <c r="G6" s="1571">
        <f t="shared" si="2"/>
        <v>0.71872665739999997</v>
      </c>
      <c r="H6" s="1572">
        <f t="shared" si="3"/>
        <v>0.98429250319999984</v>
      </c>
      <c r="I6" s="1573">
        <f t="shared" si="4"/>
        <v>1.3898731909999997</v>
      </c>
      <c r="J6" s="1574">
        <f t="shared" si="5"/>
        <v>4.9660899999999986</v>
      </c>
      <c r="K6" s="1575">
        <f t="shared" si="6"/>
        <v>9.0516185260000004</v>
      </c>
      <c r="L6" s="1576">
        <f t="shared" si="7"/>
        <v>18.336419999999997</v>
      </c>
      <c r="M6" s="1577">
        <f t="shared" si="8"/>
        <v>29.786326383000002</v>
      </c>
      <c r="N6" s="1134">
        <f t="shared" si="9"/>
        <v>30.165674377000002</v>
      </c>
      <c r="O6" s="1132">
        <v>9.6999999999999993</v>
      </c>
      <c r="P6" s="1578">
        <f t="shared" si="10"/>
        <v>96.693051615400009</v>
      </c>
      <c r="Q6" s="1545"/>
      <c r="R6" s="1545"/>
    </row>
    <row r="7" spans="1:18" ht="14" customHeight="1" x14ac:dyDescent="0.15">
      <c r="A7" s="1586">
        <f>(H103-H3)/100</f>
        <v>3.3420400000000569E-4</v>
      </c>
      <c r="B7" s="1587"/>
      <c r="C7" s="1132">
        <v>9.6</v>
      </c>
      <c r="D7" s="1545"/>
      <c r="E7" s="1569">
        <f t="shared" si="0"/>
        <v>0.98214270889200006</v>
      </c>
      <c r="F7" s="1570">
        <f t="shared" si="1"/>
        <v>0.31386746199999993</v>
      </c>
      <c r="G7" s="1582">
        <f t="shared" si="2"/>
        <v>0.71882464319999995</v>
      </c>
      <c r="H7" s="1572">
        <f t="shared" si="3"/>
        <v>0.98462670719999978</v>
      </c>
      <c r="I7" s="1573">
        <f t="shared" si="4"/>
        <v>1.3927197679999996</v>
      </c>
      <c r="J7" s="1574">
        <f t="shared" si="5"/>
        <v>4.9711199999999982</v>
      </c>
      <c r="K7" s="1583">
        <f t="shared" si="6"/>
        <v>9.0619472880000007</v>
      </c>
      <c r="L7" s="1576">
        <f t="shared" si="7"/>
        <v>18.354559999999996</v>
      </c>
      <c r="M7" s="1577">
        <f t="shared" si="8"/>
        <v>29.793078194000003</v>
      </c>
      <c r="N7" s="1134">
        <f t="shared" si="9"/>
        <v>30.363101936000003</v>
      </c>
      <c r="O7" s="1132">
        <v>9.6</v>
      </c>
      <c r="P7" s="1578">
        <f t="shared" si="10"/>
        <v>96.935988706400011</v>
      </c>
      <c r="Q7" s="1545"/>
      <c r="R7" s="1545"/>
    </row>
    <row r="8" spans="1:18" ht="14" customHeight="1" x14ac:dyDescent="0.15">
      <c r="A8" s="1588">
        <f>(I103-I3)/100</f>
        <v>2.8465769999999058E-3</v>
      </c>
      <c r="B8" s="1589"/>
      <c r="C8" s="1132">
        <v>9.5</v>
      </c>
      <c r="D8" s="1545"/>
      <c r="E8" s="1569">
        <f t="shared" si="0"/>
        <v>0.98253091331500009</v>
      </c>
      <c r="F8" s="1570">
        <f t="shared" si="1"/>
        <v>0.31545944999999992</v>
      </c>
      <c r="G8" s="1571">
        <f t="shared" si="2"/>
        <v>0.71892262899999992</v>
      </c>
      <c r="H8" s="1572">
        <f t="shared" si="3"/>
        <v>0.98496091119999973</v>
      </c>
      <c r="I8" s="1573">
        <f t="shared" si="4"/>
        <v>1.3955663449999995</v>
      </c>
      <c r="J8" s="1574">
        <f t="shared" si="5"/>
        <v>4.9761499999999979</v>
      </c>
      <c r="K8" s="1575">
        <f t="shared" si="6"/>
        <v>9.072276050000001</v>
      </c>
      <c r="L8" s="1576">
        <f t="shared" si="7"/>
        <v>18.372699999999995</v>
      </c>
      <c r="M8" s="1577">
        <f t="shared" si="8"/>
        <v>29.799830005000004</v>
      </c>
      <c r="N8" s="1134">
        <f t="shared" si="9"/>
        <v>30.560529495000004</v>
      </c>
      <c r="O8" s="1132">
        <v>9.5</v>
      </c>
      <c r="P8" s="1578">
        <f t="shared" si="10"/>
        <v>97.178925797400012</v>
      </c>
      <c r="Q8" s="1545"/>
      <c r="R8" s="1545"/>
    </row>
    <row r="9" spans="1:18" ht="14" customHeight="1" x14ac:dyDescent="0.15">
      <c r="A9" s="1590">
        <f>(J103-J3)/100</f>
        <v>5.0299999999996459E-3</v>
      </c>
      <c r="B9" s="1545"/>
      <c r="C9" s="1132">
        <v>9.4</v>
      </c>
      <c r="D9" s="1545"/>
      <c r="E9" s="1569">
        <f t="shared" si="0"/>
        <v>0.98291911773800011</v>
      </c>
      <c r="F9" s="1570">
        <f t="shared" si="1"/>
        <v>0.31705143799999991</v>
      </c>
      <c r="G9" s="1582">
        <f t="shared" si="2"/>
        <v>0.7190206147999999</v>
      </c>
      <c r="H9" s="1572">
        <f t="shared" si="3"/>
        <v>0.98529511519999968</v>
      </c>
      <c r="I9" s="1573">
        <f t="shared" si="4"/>
        <v>1.3984129219999994</v>
      </c>
      <c r="J9" s="1574">
        <f t="shared" si="5"/>
        <v>4.9811799999999975</v>
      </c>
      <c r="K9" s="1583">
        <f t="shared" si="6"/>
        <v>9.0826048120000014</v>
      </c>
      <c r="L9" s="1576">
        <f t="shared" si="7"/>
        <v>18.390839999999994</v>
      </c>
      <c r="M9" s="1577">
        <f t="shared" si="8"/>
        <v>29.806581816000005</v>
      </c>
      <c r="N9" s="1134">
        <f t="shared" si="9"/>
        <v>30.757957054000006</v>
      </c>
      <c r="O9" s="1132">
        <v>9.4</v>
      </c>
      <c r="P9" s="1578">
        <f t="shared" si="10"/>
        <v>97.421862888400014</v>
      </c>
      <c r="Q9" s="1545"/>
      <c r="R9" s="1545"/>
    </row>
    <row r="10" spans="1:18" ht="14" customHeight="1" x14ac:dyDescent="0.15">
      <c r="A10" s="1591">
        <f>(K103-K3)/100</f>
        <v>1.0328762000000324E-2</v>
      </c>
      <c r="B10" s="1545"/>
      <c r="C10" s="1132">
        <v>9.3000000000000007</v>
      </c>
      <c r="D10" s="1545"/>
      <c r="E10" s="1569">
        <f t="shared" si="0"/>
        <v>0.98330732216100014</v>
      </c>
      <c r="F10" s="1570">
        <f t="shared" si="1"/>
        <v>0.3186434259999999</v>
      </c>
      <c r="G10" s="1571">
        <f t="shared" si="2"/>
        <v>0.71911860059999988</v>
      </c>
      <c r="H10" s="1572">
        <f t="shared" si="3"/>
        <v>0.98562931919999963</v>
      </c>
      <c r="I10" s="1573">
        <f t="shared" si="4"/>
        <v>1.4012594989999994</v>
      </c>
      <c r="J10" s="1574">
        <f t="shared" si="5"/>
        <v>4.9862099999999971</v>
      </c>
      <c r="K10" s="1575">
        <f t="shared" si="6"/>
        <v>9.0929335740000017</v>
      </c>
      <c r="L10" s="1576">
        <f t="shared" si="7"/>
        <v>18.408979999999993</v>
      </c>
      <c r="M10" s="1577">
        <f t="shared" si="8"/>
        <v>29.813333627000006</v>
      </c>
      <c r="N10" s="1134">
        <f t="shared" si="9"/>
        <v>30.955384613000007</v>
      </c>
      <c r="O10" s="1132">
        <v>9.3000000000000007</v>
      </c>
      <c r="P10" s="1578">
        <f t="shared" si="10"/>
        <v>97.664799979400016</v>
      </c>
      <c r="Q10" s="1545"/>
      <c r="R10" s="1545"/>
    </row>
    <row r="11" spans="1:18" ht="14" customHeight="1" x14ac:dyDescent="0.15">
      <c r="A11" s="1592">
        <f>(L103-L3)/100</f>
        <v>1.8139999999998935E-2</v>
      </c>
      <c r="B11" s="1545"/>
      <c r="C11" s="1132">
        <v>9.1999999999999993</v>
      </c>
      <c r="D11" s="1545"/>
      <c r="E11" s="1569">
        <f t="shared" si="0"/>
        <v>0.98369552658400017</v>
      </c>
      <c r="F11" s="1570">
        <f t="shared" si="1"/>
        <v>0.32023541399999988</v>
      </c>
      <c r="G11" s="1582">
        <f t="shared" si="2"/>
        <v>0.71921658639999986</v>
      </c>
      <c r="H11" s="1572">
        <f t="shared" si="3"/>
        <v>0.98596352319999958</v>
      </c>
      <c r="I11" s="1573">
        <f t="shared" si="4"/>
        <v>1.4041060759999993</v>
      </c>
      <c r="J11" s="1574">
        <f t="shared" si="5"/>
        <v>4.9912399999999968</v>
      </c>
      <c r="K11" s="1583">
        <f t="shared" si="6"/>
        <v>9.103262336000002</v>
      </c>
      <c r="L11" s="1576">
        <f t="shared" si="7"/>
        <v>18.427119999999992</v>
      </c>
      <c r="M11" s="1577">
        <f t="shared" si="8"/>
        <v>29.820085438000007</v>
      </c>
      <c r="N11" s="1134">
        <f t="shared" si="9"/>
        <v>31.152812172000008</v>
      </c>
      <c r="O11" s="1132">
        <v>9.1999999999999993</v>
      </c>
      <c r="P11" s="1578">
        <f t="shared" si="10"/>
        <v>97.907737070400017</v>
      </c>
      <c r="Q11" s="1545"/>
      <c r="R11" s="1545"/>
    </row>
    <row r="12" spans="1:18" ht="14" customHeight="1" x14ac:dyDescent="0.15">
      <c r="A12" s="1593">
        <f>(M103-M3)/100</f>
        <v>6.7518110000008846E-3</v>
      </c>
      <c r="B12" s="1545"/>
      <c r="C12" s="1132">
        <v>9.1</v>
      </c>
      <c r="D12" s="1545"/>
      <c r="E12" s="1569">
        <f t="shared" si="0"/>
        <v>0.9840837310070002</v>
      </c>
      <c r="F12" s="1570">
        <f t="shared" si="1"/>
        <v>0.32182740199999987</v>
      </c>
      <c r="G12" s="1571">
        <f t="shared" si="2"/>
        <v>0.71931457219999984</v>
      </c>
      <c r="H12" s="1572">
        <f t="shared" si="3"/>
        <v>0.98629772719999953</v>
      </c>
      <c r="I12" s="1573">
        <f t="shared" si="4"/>
        <v>1.4069526529999992</v>
      </c>
      <c r="J12" s="1574">
        <f t="shared" si="5"/>
        <v>4.9962699999999964</v>
      </c>
      <c r="K12" s="1575">
        <f t="shared" si="6"/>
        <v>9.1135910980000023</v>
      </c>
      <c r="L12" s="1576">
        <f t="shared" si="7"/>
        <v>18.44525999999999</v>
      </c>
      <c r="M12" s="1577">
        <f t="shared" si="8"/>
        <v>29.826837249000008</v>
      </c>
      <c r="N12" s="1134">
        <f t="shared" si="9"/>
        <v>31.350239731000009</v>
      </c>
      <c r="O12" s="1132">
        <v>9.1</v>
      </c>
      <c r="P12" s="1578">
        <f t="shared" si="10"/>
        <v>98.150674161400019</v>
      </c>
      <c r="Q12" s="1545"/>
      <c r="R12" s="1545"/>
    </row>
    <row r="13" spans="1:18" ht="16" customHeight="1" x14ac:dyDescent="0.15">
      <c r="A13" s="1594">
        <f>(N103-N3)/100</f>
        <v>0.19742755899999812</v>
      </c>
      <c r="B13" s="1545"/>
      <c r="C13" s="1129">
        <v>9</v>
      </c>
      <c r="D13" s="1557"/>
      <c r="E13" s="1558">
        <f t="shared" si="0"/>
        <v>0.98447193543000022</v>
      </c>
      <c r="F13" s="1559">
        <f t="shared" si="1"/>
        <v>0.32341938999999986</v>
      </c>
      <c r="G13" s="1595">
        <f t="shared" si="2"/>
        <v>0.71941255799999981</v>
      </c>
      <c r="H13" s="1561">
        <f t="shared" si="3"/>
        <v>0.98663193119999948</v>
      </c>
      <c r="I13" s="1562">
        <f t="shared" si="4"/>
        <v>1.4097992299999991</v>
      </c>
      <c r="J13" s="1563">
        <f t="shared" si="5"/>
        <v>5.0012999999999961</v>
      </c>
      <c r="K13" s="1596">
        <f t="shared" si="6"/>
        <v>9.1239198600000027</v>
      </c>
      <c r="L13" s="1565">
        <f t="shared" si="7"/>
        <v>18.463399999999989</v>
      </c>
      <c r="M13" s="1566">
        <f t="shared" si="8"/>
        <v>29.833589060000008</v>
      </c>
      <c r="N13" s="1131">
        <f t="shared" si="9"/>
        <v>31.54766729000001</v>
      </c>
      <c r="O13" s="1129">
        <v>9</v>
      </c>
      <c r="P13" s="1597">
        <f t="shared" si="10"/>
        <v>98.393611252400021</v>
      </c>
      <c r="Q13" s="1545"/>
      <c r="R13" s="1545"/>
    </row>
    <row r="14" spans="1:18" ht="14" customHeight="1" x14ac:dyDescent="0.15">
      <c r="A14" s="1598">
        <f>(P103-P3)/100</f>
        <v>0.24293709100000171</v>
      </c>
      <c r="B14" s="1545"/>
      <c r="C14" s="1132">
        <v>8.9</v>
      </c>
      <c r="D14" s="1545"/>
      <c r="E14" s="1569">
        <f t="shared" si="0"/>
        <v>0.98486013985300025</v>
      </c>
      <c r="F14" s="1570">
        <f t="shared" si="1"/>
        <v>0.32501137799999985</v>
      </c>
      <c r="G14" s="1571">
        <f t="shared" si="2"/>
        <v>0.71951054379999979</v>
      </c>
      <c r="H14" s="1572">
        <f t="shared" si="3"/>
        <v>0.98696613519999943</v>
      </c>
      <c r="I14" s="1573">
        <f t="shared" si="4"/>
        <v>1.412645806999999</v>
      </c>
      <c r="J14" s="1574">
        <f t="shared" si="5"/>
        <v>5.0063299999999957</v>
      </c>
      <c r="K14" s="1575">
        <f t="shared" si="6"/>
        <v>9.134248622000003</v>
      </c>
      <c r="L14" s="1576">
        <f t="shared" si="7"/>
        <v>18.481539999999988</v>
      </c>
      <c r="M14" s="1577">
        <f t="shared" si="8"/>
        <v>29.840340871000009</v>
      </c>
      <c r="N14" s="1134">
        <f t="shared" si="9"/>
        <v>31.745094849000012</v>
      </c>
      <c r="O14" s="1132">
        <v>8.9</v>
      </c>
      <c r="P14" s="1578">
        <f t="shared" si="10"/>
        <v>98.636548343400023</v>
      </c>
      <c r="Q14" s="1545"/>
      <c r="R14" s="1545"/>
    </row>
    <row r="15" spans="1:18" ht="14" customHeight="1" x14ac:dyDescent="0.15">
      <c r="A15" s="1599"/>
      <c r="B15" s="1545"/>
      <c r="C15" s="1132">
        <v>8.8000000000000007</v>
      </c>
      <c r="D15" s="1545"/>
      <c r="E15" s="1569">
        <f t="shared" si="0"/>
        <v>0.98524834427600028</v>
      </c>
      <c r="F15" s="1570">
        <f t="shared" si="1"/>
        <v>0.32660336599999984</v>
      </c>
      <c r="G15" s="1582">
        <f t="shared" si="2"/>
        <v>0.71960852959999977</v>
      </c>
      <c r="H15" s="1572">
        <f t="shared" si="3"/>
        <v>0.98730033919999938</v>
      </c>
      <c r="I15" s="1573">
        <f t="shared" si="4"/>
        <v>1.4154923839999989</v>
      </c>
      <c r="J15" s="1574">
        <f t="shared" si="5"/>
        <v>5.0113599999999954</v>
      </c>
      <c r="K15" s="1583">
        <f t="shared" si="6"/>
        <v>9.1445773840000033</v>
      </c>
      <c r="L15" s="1576">
        <f t="shared" si="7"/>
        <v>18.499679999999987</v>
      </c>
      <c r="M15" s="1577">
        <f t="shared" si="8"/>
        <v>29.84709268200001</v>
      </c>
      <c r="N15" s="1134">
        <f t="shared" si="9"/>
        <v>31.942522408000013</v>
      </c>
      <c r="O15" s="1132">
        <v>8.8000000000000007</v>
      </c>
      <c r="P15" s="1578">
        <f t="shared" si="10"/>
        <v>98.879485434400024</v>
      </c>
      <c r="Q15" s="1545"/>
      <c r="R15" s="1545"/>
    </row>
    <row r="16" spans="1:18" ht="14" customHeight="1" x14ac:dyDescent="0.15">
      <c r="A16" s="1599"/>
      <c r="B16" s="1545"/>
      <c r="C16" s="1132">
        <v>8.6999999999999993</v>
      </c>
      <c r="D16" s="1545"/>
      <c r="E16" s="1569">
        <f t="shared" si="0"/>
        <v>0.9856365486990003</v>
      </c>
      <c r="F16" s="1570">
        <f t="shared" si="1"/>
        <v>0.32819535399999983</v>
      </c>
      <c r="G16" s="1571">
        <f t="shared" si="2"/>
        <v>0.71970651539999975</v>
      </c>
      <c r="H16" s="1572">
        <f t="shared" si="3"/>
        <v>0.98763454319999933</v>
      </c>
      <c r="I16" s="1573">
        <f t="shared" si="4"/>
        <v>1.4183389609999988</v>
      </c>
      <c r="J16" s="1574">
        <f t="shared" si="5"/>
        <v>5.016389999999995</v>
      </c>
      <c r="K16" s="1575">
        <f t="shared" si="6"/>
        <v>9.1549061460000036</v>
      </c>
      <c r="L16" s="1576">
        <f t="shared" si="7"/>
        <v>18.517819999999986</v>
      </c>
      <c r="M16" s="1577">
        <f t="shared" si="8"/>
        <v>29.853844493000011</v>
      </c>
      <c r="N16" s="1134">
        <f t="shared" si="9"/>
        <v>32.139949967000014</v>
      </c>
      <c r="O16" s="1132">
        <v>8.6999999999999993</v>
      </c>
      <c r="P16" s="1578">
        <f t="shared" si="10"/>
        <v>99.122422525400026</v>
      </c>
      <c r="Q16" s="1545"/>
      <c r="R16" s="1545"/>
    </row>
    <row r="17" spans="1:18" ht="14" customHeight="1" x14ac:dyDescent="0.15">
      <c r="A17" s="1599"/>
      <c r="B17" s="1545"/>
      <c r="C17" s="1132">
        <v>8.6</v>
      </c>
      <c r="D17" s="1545"/>
      <c r="E17" s="1569">
        <f t="shared" si="0"/>
        <v>0.98602475312200033</v>
      </c>
      <c r="F17" s="1570">
        <f t="shared" si="1"/>
        <v>0.32978734199999982</v>
      </c>
      <c r="G17" s="1582">
        <f t="shared" si="2"/>
        <v>0.71980450119999972</v>
      </c>
      <c r="H17" s="1572">
        <f t="shared" si="3"/>
        <v>0.98796874719999928</v>
      </c>
      <c r="I17" s="1573">
        <f t="shared" si="4"/>
        <v>1.4211855379999987</v>
      </c>
      <c r="J17" s="1574">
        <f t="shared" si="5"/>
        <v>5.0214199999999947</v>
      </c>
      <c r="K17" s="1583">
        <f t="shared" si="6"/>
        <v>9.165234908000004</v>
      </c>
      <c r="L17" s="1576">
        <f t="shared" si="7"/>
        <v>18.535959999999985</v>
      </c>
      <c r="M17" s="1577">
        <f t="shared" si="8"/>
        <v>29.860596304000012</v>
      </c>
      <c r="N17" s="1134">
        <f t="shared" si="9"/>
        <v>32.337377526000012</v>
      </c>
      <c r="O17" s="1132">
        <v>8.6</v>
      </c>
      <c r="P17" s="1578">
        <f t="shared" si="10"/>
        <v>99.365359616400028</v>
      </c>
      <c r="Q17" s="1545"/>
      <c r="R17" s="1545"/>
    </row>
    <row r="18" spans="1:18" ht="14" customHeight="1" x14ac:dyDescent="0.15">
      <c r="A18" s="1599"/>
      <c r="B18" s="1545"/>
      <c r="C18" s="1132">
        <v>8.5</v>
      </c>
      <c r="D18" s="1545"/>
      <c r="E18" s="1569">
        <f t="shared" si="0"/>
        <v>0.98641295754500036</v>
      </c>
      <c r="F18" s="1570">
        <f t="shared" si="1"/>
        <v>0.33137932999999981</v>
      </c>
      <c r="G18" s="1571">
        <f t="shared" si="2"/>
        <v>0.7199024869999997</v>
      </c>
      <c r="H18" s="1572">
        <f t="shared" si="3"/>
        <v>0.98830295119999922</v>
      </c>
      <c r="I18" s="1573">
        <f t="shared" si="4"/>
        <v>1.4240321149999986</v>
      </c>
      <c r="J18" s="1574">
        <f t="shared" si="5"/>
        <v>5.0264499999999943</v>
      </c>
      <c r="K18" s="1575">
        <f t="shared" si="6"/>
        <v>9.1755636700000043</v>
      </c>
      <c r="L18" s="1576">
        <f t="shared" si="7"/>
        <v>18.554099999999984</v>
      </c>
      <c r="M18" s="1577">
        <f t="shared" si="8"/>
        <v>29.867348115000013</v>
      </c>
      <c r="N18" s="1134">
        <f t="shared" si="9"/>
        <v>32.534805085000009</v>
      </c>
      <c r="O18" s="1132">
        <v>8.5</v>
      </c>
      <c r="P18" s="1578">
        <f t="shared" si="10"/>
        <v>99.608296707400029</v>
      </c>
      <c r="Q18" s="1545"/>
      <c r="R18" s="1545"/>
    </row>
    <row r="19" spans="1:18" ht="14" customHeight="1" x14ac:dyDescent="0.15">
      <c r="A19" s="1599"/>
      <c r="B19" s="1545"/>
      <c r="C19" s="1132">
        <v>8.4</v>
      </c>
      <c r="D19" s="1545"/>
      <c r="E19" s="1569">
        <f t="shared" si="0"/>
        <v>0.98680116196800038</v>
      </c>
      <c r="F19" s="1570">
        <f t="shared" si="1"/>
        <v>0.33297131799999979</v>
      </c>
      <c r="G19" s="1582">
        <f t="shared" si="2"/>
        <v>0.72000047279999968</v>
      </c>
      <c r="H19" s="1572">
        <f t="shared" si="3"/>
        <v>0.98863715519999917</v>
      </c>
      <c r="I19" s="1573">
        <f t="shared" si="4"/>
        <v>1.4268786919999985</v>
      </c>
      <c r="J19" s="1574">
        <f t="shared" si="5"/>
        <v>5.031479999999994</v>
      </c>
      <c r="K19" s="1583">
        <f t="shared" si="6"/>
        <v>9.1858924320000046</v>
      </c>
      <c r="L19" s="1576">
        <f t="shared" si="7"/>
        <v>18.572239999999983</v>
      </c>
      <c r="M19" s="1577">
        <f t="shared" si="8"/>
        <v>29.874099926000014</v>
      </c>
      <c r="N19" s="1134">
        <f t="shared" si="9"/>
        <v>32.732232644000007</v>
      </c>
      <c r="O19" s="1132">
        <v>8.4</v>
      </c>
      <c r="P19" s="1578">
        <f t="shared" si="10"/>
        <v>99.851233798400031</v>
      </c>
      <c r="Q19" s="1545"/>
      <c r="R19" s="1545"/>
    </row>
    <row r="20" spans="1:18" ht="14" customHeight="1" x14ac:dyDescent="0.15">
      <c r="A20" s="1599"/>
      <c r="B20" s="1545"/>
      <c r="C20" s="1132">
        <v>8.3000000000000007</v>
      </c>
      <c r="D20" s="1545"/>
      <c r="E20" s="1569">
        <f t="shared" si="0"/>
        <v>0.98718936639100041</v>
      </c>
      <c r="F20" s="1570">
        <f t="shared" si="1"/>
        <v>0.33456330599999978</v>
      </c>
      <c r="G20" s="1571">
        <f t="shared" si="2"/>
        <v>0.72009845859999966</v>
      </c>
      <c r="H20" s="1572">
        <f t="shared" si="3"/>
        <v>0.98897135919999912</v>
      </c>
      <c r="I20" s="1573">
        <f t="shared" si="4"/>
        <v>1.4297252689999984</v>
      </c>
      <c r="J20" s="1574">
        <f t="shared" si="5"/>
        <v>5.0365099999999936</v>
      </c>
      <c r="K20" s="1575">
        <f t="shared" si="6"/>
        <v>9.1962211940000049</v>
      </c>
      <c r="L20" s="1576">
        <f t="shared" si="7"/>
        <v>18.590379999999982</v>
      </c>
      <c r="M20" s="1577">
        <f t="shared" si="8"/>
        <v>29.880851737000015</v>
      </c>
      <c r="N20" s="1134">
        <f t="shared" si="9"/>
        <v>32.929660203000005</v>
      </c>
      <c r="O20" s="1132">
        <v>8.3000000000000007</v>
      </c>
      <c r="P20" s="1578">
        <f t="shared" si="10"/>
        <v>100.09417088940003</v>
      </c>
      <c r="Q20" s="1545"/>
      <c r="R20" s="1545"/>
    </row>
    <row r="21" spans="1:18" ht="14" customHeight="1" x14ac:dyDescent="0.15">
      <c r="A21" s="1599"/>
      <c r="B21" s="1545"/>
      <c r="C21" s="1132">
        <v>8.1999999999999993</v>
      </c>
      <c r="D21" s="1545"/>
      <c r="E21" s="1569">
        <f t="shared" si="0"/>
        <v>0.98757757081400044</v>
      </c>
      <c r="F21" s="1570">
        <f t="shared" si="1"/>
        <v>0.33615529399999977</v>
      </c>
      <c r="G21" s="1582">
        <f t="shared" si="2"/>
        <v>0.72019644439999964</v>
      </c>
      <c r="H21" s="1572">
        <f t="shared" si="3"/>
        <v>0.98930556319999907</v>
      </c>
      <c r="I21" s="1573">
        <f t="shared" si="4"/>
        <v>1.4325718459999983</v>
      </c>
      <c r="J21" s="1574">
        <f t="shared" si="5"/>
        <v>5.0415399999999932</v>
      </c>
      <c r="K21" s="1583">
        <f t="shared" si="6"/>
        <v>9.2065499560000053</v>
      </c>
      <c r="L21" s="1576">
        <f t="shared" si="7"/>
        <v>18.608519999999981</v>
      </c>
      <c r="M21" s="1577">
        <f t="shared" si="8"/>
        <v>29.887603548000016</v>
      </c>
      <c r="N21" s="1134">
        <f t="shared" si="9"/>
        <v>33.127087762000002</v>
      </c>
      <c r="O21" s="1132">
        <v>8.1999999999999993</v>
      </c>
      <c r="P21" s="1578">
        <f t="shared" si="10"/>
        <v>100.33710798040003</v>
      </c>
      <c r="Q21" s="1545"/>
      <c r="R21" s="1545"/>
    </row>
    <row r="22" spans="1:18" ht="14" customHeight="1" x14ac:dyDescent="0.15">
      <c r="A22" s="1599"/>
      <c r="B22" s="1545"/>
      <c r="C22" s="1132">
        <v>8.1</v>
      </c>
      <c r="D22" s="1545"/>
      <c r="E22" s="1569">
        <f t="shared" si="0"/>
        <v>0.98796577523700047</v>
      </c>
      <c r="F22" s="1570">
        <f t="shared" si="1"/>
        <v>0.33774728199999976</v>
      </c>
      <c r="G22" s="1571">
        <f t="shared" si="2"/>
        <v>0.72029443019999961</v>
      </c>
      <c r="H22" s="1572">
        <f t="shared" si="3"/>
        <v>0.98963976719999902</v>
      </c>
      <c r="I22" s="1573">
        <f t="shared" si="4"/>
        <v>1.4354184229999982</v>
      </c>
      <c r="J22" s="1574">
        <f t="shared" si="5"/>
        <v>5.0465699999999929</v>
      </c>
      <c r="K22" s="1575">
        <f t="shared" si="6"/>
        <v>9.2168787180000056</v>
      </c>
      <c r="L22" s="1576">
        <f t="shared" si="7"/>
        <v>18.62665999999998</v>
      </c>
      <c r="M22" s="1577">
        <f t="shared" si="8"/>
        <v>29.894355359000016</v>
      </c>
      <c r="N22" s="1134">
        <f t="shared" si="9"/>
        <v>33.324515321</v>
      </c>
      <c r="O22" s="1132">
        <v>8.1</v>
      </c>
      <c r="P22" s="1578">
        <f t="shared" si="10"/>
        <v>100.58004507140004</v>
      </c>
      <c r="Q22" s="1545"/>
      <c r="R22" s="1545"/>
    </row>
    <row r="23" spans="1:18" ht="16" customHeight="1" x14ac:dyDescent="0.15">
      <c r="A23" s="1599"/>
      <c r="B23" s="1545"/>
      <c r="C23" s="1129">
        <v>8</v>
      </c>
      <c r="D23" s="1557"/>
      <c r="E23" s="1558">
        <f t="shared" si="0"/>
        <v>0.98835397966000049</v>
      </c>
      <c r="F23" s="1559">
        <f t="shared" si="1"/>
        <v>0.33933926999999975</v>
      </c>
      <c r="G23" s="1595">
        <f t="shared" si="2"/>
        <v>0.72039241599999959</v>
      </c>
      <c r="H23" s="1561">
        <f t="shared" si="3"/>
        <v>0.98997397119999897</v>
      </c>
      <c r="I23" s="1562">
        <f t="shared" si="4"/>
        <v>1.4382649999999981</v>
      </c>
      <c r="J23" s="1563">
        <f t="shared" si="5"/>
        <v>5.0515999999999925</v>
      </c>
      <c r="K23" s="1596">
        <f t="shared" si="6"/>
        <v>9.2272074800000059</v>
      </c>
      <c r="L23" s="1565">
        <f t="shared" si="7"/>
        <v>18.644799999999979</v>
      </c>
      <c r="M23" s="1566">
        <f t="shared" si="8"/>
        <v>29.901107170000017</v>
      </c>
      <c r="N23" s="1131">
        <f t="shared" si="9"/>
        <v>33.521942879999997</v>
      </c>
      <c r="O23" s="1129">
        <v>8</v>
      </c>
      <c r="P23" s="1567">
        <f t="shared" si="10"/>
        <v>100.82298216240004</v>
      </c>
      <c r="Q23" s="1545"/>
      <c r="R23" s="1601"/>
    </row>
    <row r="24" spans="1:18" ht="14" customHeight="1" x14ac:dyDescent="0.15">
      <c r="A24" s="1599"/>
      <c r="B24" s="1545"/>
      <c r="C24" s="1132">
        <v>7.9</v>
      </c>
      <c r="D24" s="1545"/>
      <c r="E24" s="1569">
        <f t="shared" si="0"/>
        <v>0.98874218408300052</v>
      </c>
      <c r="F24" s="1570">
        <f t="shared" si="1"/>
        <v>0.34093125799999974</v>
      </c>
      <c r="G24" s="1571">
        <f t="shared" si="2"/>
        <v>0.72049040179999957</v>
      </c>
      <c r="H24" s="1572">
        <f t="shared" si="3"/>
        <v>0.99030817519999892</v>
      </c>
      <c r="I24" s="1573">
        <f t="shared" si="4"/>
        <v>1.441111576999998</v>
      </c>
      <c r="J24" s="1574">
        <f t="shared" si="5"/>
        <v>5.0566299999999922</v>
      </c>
      <c r="K24" s="1575">
        <f t="shared" si="6"/>
        <v>9.2375362420000062</v>
      </c>
      <c r="L24" s="1576">
        <f t="shared" si="7"/>
        <v>18.662939999999978</v>
      </c>
      <c r="M24" s="1577">
        <f t="shared" si="8"/>
        <v>29.907858981000018</v>
      </c>
      <c r="N24" s="1134">
        <f t="shared" si="9"/>
        <v>33.719370438999995</v>
      </c>
      <c r="O24" s="1132">
        <v>7.9</v>
      </c>
      <c r="P24" s="1578">
        <f t="shared" si="10"/>
        <v>101.06591925340004</v>
      </c>
      <c r="Q24" s="1545"/>
      <c r="R24" s="1545"/>
    </row>
    <row r="25" spans="1:18" ht="14" customHeight="1" x14ac:dyDescent="0.15">
      <c r="A25" s="1599"/>
      <c r="B25" s="1545"/>
      <c r="C25" s="1132">
        <v>7.8</v>
      </c>
      <c r="D25" s="1545"/>
      <c r="E25" s="1569">
        <f t="shared" si="0"/>
        <v>0.98913038850600055</v>
      </c>
      <c r="F25" s="1570">
        <f t="shared" si="1"/>
        <v>0.34252324599999973</v>
      </c>
      <c r="G25" s="1582">
        <f t="shared" si="2"/>
        <v>0.72058838759999955</v>
      </c>
      <c r="H25" s="1572">
        <f t="shared" si="3"/>
        <v>0.99064237919999887</v>
      </c>
      <c r="I25" s="1573">
        <f t="shared" si="4"/>
        <v>1.4439581539999979</v>
      </c>
      <c r="J25" s="1574">
        <f t="shared" si="5"/>
        <v>5.0616599999999918</v>
      </c>
      <c r="K25" s="1583">
        <f t="shared" si="6"/>
        <v>9.2478650040000066</v>
      </c>
      <c r="L25" s="1576">
        <f t="shared" si="7"/>
        <v>18.681079999999977</v>
      </c>
      <c r="M25" s="1577">
        <f t="shared" si="8"/>
        <v>29.914610792000019</v>
      </c>
      <c r="N25" s="1134">
        <f t="shared" si="9"/>
        <v>33.916797997999993</v>
      </c>
      <c r="O25" s="1132">
        <v>7.8</v>
      </c>
      <c r="P25" s="1578">
        <f t="shared" si="10"/>
        <v>101.30885634440004</v>
      </c>
      <c r="Q25" s="1545"/>
      <c r="R25" s="1545"/>
    </row>
    <row r="26" spans="1:18" ht="14" customHeight="1" x14ac:dyDescent="0.15">
      <c r="A26" s="1599"/>
      <c r="B26" s="1545"/>
      <c r="C26" s="1132">
        <v>7.7</v>
      </c>
      <c r="D26" s="1545"/>
      <c r="E26" s="1569">
        <f t="shared" si="0"/>
        <v>0.98951859292900057</v>
      </c>
      <c r="F26" s="1570">
        <f t="shared" si="1"/>
        <v>0.34411523399999971</v>
      </c>
      <c r="G26" s="1571">
        <f t="shared" si="2"/>
        <v>0.72068637339999952</v>
      </c>
      <c r="H26" s="1572">
        <f t="shared" si="3"/>
        <v>0.99097658319999882</v>
      </c>
      <c r="I26" s="1573">
        <f t="shared" si="4"/>
        <v>1.4468047309999978</v>
      </c>
      <c r="J26" s="1574">
        <f t="shared" si="5"/>
        <v>5.0666899999999915</v>
      </c>
      <c r="K26" s="1575">
        <f t="shared" si="6"/>
        <v>9.2581937660000069</v>
      </c>
      <c r="L26" s="1576">
        <f t="shared" si="7"/>
        <v>18.699219999999976</v>
      </c>
      <c r="M26" s="1577">
        <f t="shared" si="8"/>
        <v>29.92136260300002</v>
      </c>
      <c r="N26" s="1134">
        <f t="shared" si="9"/>
        <v>34.11422555699999</v>
      </c>
      <c r="O26" s="1132">
        <v>7.7</v>
      </c>
      <c r="P26" s="1578">
        <f t="shared" si="10"/>
        <v>101.55179343540004</v>
      </c>
      <c r="Q26" s="1545"/>
      <c r="R26" s="1545"/>
    </row>
    <row r="27" spans="1:18" ht="14" customHeight="1" x14ac:dyDescent="0.15">
      <c r="A27" s="1599"/>
      <c r="B27" s="1545"/>
      <c r="C27" s="1132">
        <v>7.6</v>
      </c>
      <c r="D27" s="1545"/>
      <c r="E27" s="1569">
        <f t="shared" si="0"/>
        <v>0.9899067973520006</v>
      </c>
      <c r="F27" s="1570">
        <f t="shared" si="1"/>
        <v>0.3457072219999997</v>
      </c>
      <c r="G27" s="1582">
        <f t="shared" si="2"/>
        <v>0.7207843591999995</v>
      </c>
      <c r="H27" s="1572">
        <f t="shared" si="3"/>
        <v>0.99131078719999877</v>
      </c>
      <c r="I27" s="1573">
        <f t="shared" si="4"/>
        <v>1.4496513079999978</v>
      </c>
      <c r="J27" s="1574">
        <f t="shared" si="5"/>
        <v>5.0717199999999911</v>
      </c>
      <c r="K27" s="1583">
        <f t="shared" si="6"/>
        <v>9.2685225280000072</v>
      </c>
      <c r="L27" s="1576">
        <f t="shared" si="7"/>
        <v>18.717359999999974</v>
      </c>
      <c r="M27" s="1577">
        <f t="shared" si="8"/>
        <v>29.928114414000021</v>
      </c>
      <c r="N27" s="1134">
        <f t="shared" si="9"/>
        <v>34.311653115999988</v>
      </c>
      <c r="O27" s="1132">
        <v>7.6</v>
      </c>
      <c r="P27" s="1578">
        <f t="shared" si="10"/>
        <v>101.79473052640004</v>
      </c>
      <c r="Q27" s="1545"/>
      <c r="R27" s="1545"/>
    </row>
    <row r="28" spans="1:18" ht="14" customHeight="1" x14ac:dyDescent="0.15">
      <c r="A28" s="1599"/>
      <c r="B28" s="1545"/>
      <c r="C28" s="1132">
        <v>7.5</v>
      </c>
      <c r="D28" s="1545"/>
      <c r="E28" s="1569">
        <f t="shared" si="0"/>
        <v>0.99029500177500063</v>
      </c>
      <c r="F28" s="1570">
        <f t="shared" si="1"/>
        <v>0.34729920999999969</v>
      </c>
      <c r="G28" s="1571">
        <f t="shared" si="2"/>
        <v>0.72088234499999948</v>
      </c>
      <c r="H28" s="1572">
        <f t="shared" si="3"/>
        <v>0.99164499119999872</v>
      </c>
      <c r="I28" s="1573">
        <f t="shared" si="4"/>
        <v>1.4524978849999977</v>
      </c>
      <c r="J28" s="1574">
        <f t="shared" si="5"/>
        <v>5.0767499999999908</v>
      </c>
      <c r="K28" s="1575">
        <f t="shared" si="6"/>
        <v>9.2788512900000075</v>
      </c>
      <c r="L28" s="1576">
        <f t="shared" si="7"/>
        <v>18.735499999999973</v>
      </c>
      <c r="M28" s="1577">
        <f t="shared" si="8"/>
        <v>29.934866225000022</v>
      </c>
      <c r="N28" s="1134">
        <f t="shared" si="9"/>
        <v>34.509080674999986</v>
      </c>
      <c r="O28" s="1132">
        <v>7.5</v>
      </c>
      <c r="P28" s="1578">
        <f t="shared" si="10"/>
        <v>102.03766761740005</v>
      </c>
      <c r="Q28" s="1545"/>
      <c r="R28" s="1545"/>
    </row>
    <row r="29" spans="1:18" ht="14" customHeight="1" x14ac:dyDescent="0.15">
      <c r="A29" s="1599"/>
      <c r="B29" s="1545"/>
      <c r="C29" s="1132">
        <v>7.4</v>
      </c>
      <c r="D29" s="1545"/>
      <c r="E29" s="1569">
        <f t="shared" si="0"/>
        <v>0.99068320619800065</v>
      </c>
      <c r="F29" s="1570">
        <f t="shared" si="1"/>
        <v>0.34889119799999968</v>
      </c>
      <c r="G29" s="1582">
        <f t="shared" si="2"/>
        <v>0.72098033079999946</v>
      </c>
      <c r="H29" s="1572">
        <f t="shared" si="3"/>
        <v>0.99197919519999866</v>
      </c>
      <c r="I29" s="1573">
        <f t="shared" si="4"/>
        <v>1.4553444619999976</v>
      </c>
      <c r="J29" s="1574">
        <f t="shared" si="5"/>
        <v>5.0817799999999904</v>
      </c>
      <c r="K29" s="1583">
        <f t="shared" si="6"/>
        <v>9.2891800520000078</v>
      </c>
      <c r="L29" s="1576">
        <f t="shared" si="7"/>
        <v>18.753639999999972</v>
      </c>
      <c r="M29" s="1577">
        <f t="shared" si="8"/>
        <v>29.941618036000023</v>
      </c>
      <c r="N29" s="1134">
        <f t="shared" si="9"/>
        <v>34.706508233999983</v>
      </c>
      <c r="O29" s="1132">
        <v>7.4</v>
      </c>
      <c r="P29" s="1578">
        <f t="shared" si="10"/>
        <v>102.28060470840005</v>
      </c>
      <c r="Q29" s="1545"/>
      <c r="R29" s="1545"/>
    </row>
    <row r="30" spans="1:18" ht="14" customHeight="1" x14ac:dyDescent="0.15">
      <c r="A30" s="1599"/>
      <c r="B30" s="1545"/>
      <c r="C30" s="1132">
        <v>7.3</v>
      </c>
      <c r="D30" s="1545"/>
      <c r="E30" s="1569">
        <f t="shared" si="0"/>
        <v>0.99107141062100068</v>
      </c>
      <c r="F30" s="1570">
        <f t="shared" si="1"/>
        <v>0.35048318599999967</v>
      </c>
      <c r="G30" s="1571">
        <f t="shared" si="2"/>
        <v>0.72107831659999944</v>
      </c>
      <c r="H30" s="1572">
        <f t="shared" si="3"/>
        <v>0.99231339919999861</v>
      </c>
      <c r="I30" s="1573">
        <f t="shared" si="4"/>
        <v>1.4581910389999975</v>
      </c>
      <c r="J30" s="1574">
        <f t="shared" si="5"/>
        <v>5.0868099999999901</v>
      </c>
      <c r="K30" s="1575">
        <f t="shared" si="6"/>
        <v>9.2995088140000082</v>
      </c>
      <c r="L30" s="1576">
        <f t="shared" si="7"/>
        <v>18.771779999999971</v>
      </c>
      <c r="M30" s="1577">
        <f t="shared" si="8"/>
        <v>29.948369847000023</v>
      </c>
      <c r="N30" s="1134">
        <f t="shared" si="9"/>
        <v>34.903935792999981</v>
      </c>
      <c r="O30" s="1132">
        <v>7.3</v>
      </c>
      <c r="P30" s="1578">
        <f t="shared" si="10"/>
        <v>102.52354179940005</v>
      </c>
      <c r="Q30" s="1545"/>
      <c r="R30" s="1545"/>
    </row>
    <row r="31" spans="1:18" ht="14" customHeight="1" x14ac:dyDescent="0.15">
      <c r="A31" s="1599"/>
      <c r="B31" s="1545"/>
      <c r="C31" s="1132">
        <v>7.2</v>
      </c>
      <c r="D31" s="1545"/>
      <c r="E31" s="1569">
        <f t="shared" si="0"/>
        <v>0.99145961504400071</v>
      </c>
      <c r="F31" s="1570">
        <f t="shared" si="1"/>
        <v>0.35207517399999966</v>
      </c>
      <c r="G31" s="1582">
        <f t="shared" si="2"/>
        <v>0.72117630239999941</v>
      </c>
      <c r="H31" s="1572">
        <f t="shared" si="3"/>
        <v>0.99264760319999856</v>
      </c>
      <c r="I31" s="1573">
        <f t="shared" si="4"/>
        <v>1.4610376159999974</v>
      </c>
      <c r="J31" s="1574">
        <f t="shared" si="5"/>
        <v>5.0918399999999897</v>
      </c>
      <c r="K31" s="1583">
        <f t="shared" si="6"/>
        <v>9.3098375760000085</v>
      </c>
      <c r="L31" s="1576">
        <f t="shared" si="7"/>
        <v>18.78991999999997</v>
      </c>
      <c r="M31" s="1577">
        <f t="shared" si="8"/>
        <v>29.955121658000024</v>
      </c>
      <c r="N31" s="1134">
        <f t="shared" si="9"/>
        <v>35.101363351999979</v>
      </c>
      <c r="O31" s="1132">
        <v>7.2</v>
      </c>
      <c r="P31" s="1578">
        <f t="shared" si="10"/>
        <v>102.76647889040005</v>
      </c>
      <c r="Q31" s="1545"/>
      <c r="R31" s="1545"/>
    </row>
    <row r="32" spans="1:18" ht="14" customHeight="1" x14ac:dyDescent="0.15">
      <c r="A32" s="1599"/>
      <c r="B32" s="1545"/>
      <c r="C32" s="1132">
        <v>7.1</v>
      </c>
      <c r="D32" s="1545"/>
      <c r="E32" s="1569">
        <f t="shared" si="0"/>
        <v>0.99184781946700074</v>
      </c>
      <c r="F32" s="1570">
        <f t="shared" si="1"/>
        <v>0.35366716199999965</v>
      </c>
      <c r="G32" s="1571">
        <f t="shared" si="2"/>
        <v>0.72127428819999939</v>
      </c>
      <c r="H32" s="1572">
        <f t="shared" si="3"/>
        <v>0.99298180719999851</v>
      </c>
      <c r="I32" s="1573">
        <f t="shared" si="4"/>
        <v>1.4638841929999973</v>
      </c>
      <c r="J32" s="1574">
        <f t="shared" si="5"/>
        <v>5.0968699999999894</v>
      </c>
      <c r="K32" s="1575">
        <f t="shared" si="6"/>
        <v>9.3201663380000088</v>
      </c>
      <c r="L32" s="1576">
        <f t="shared" si="7"/>
        <v>18.808059999999969</v>
      </c>
      <c r="M32" s="1577">
        <f t="shared" si="8"/>
        <v>29.961873469000025</v>
      </c>
      <c r="N32" s="1134">
        <f t="shared" si="9"/>
        <v>35.298790910999976</v>
      </c>
      <c r="O32" s="1132">
        <v>7.1</v>
      </c>
      <c r="P32" s="1578">
        <f t="shared" si="10"/>
        <v>103.00941598140005</v>
      </c>
      <c r="Q32" s="1545"/>
      <c r="R32" s="1545"/>
    </row>
    <row r="33" spans="1:18" ht="16" customHeight="1" x14ac:dyDescent="0.15">
      <c r="A33" s="1599"/>
      <c r="B33" s="1545"/>
      <c r="C33" s="1129">
        <v>7</v>
      </c>
      <c r="D33" s="1557"/>
      <c r="E33" s="1558">
        <f t="shared" si="0"/>
        <v>0.99223602389000076</v>
      </c>
      <c r="F33" s="1559">
        <f t="shared" si="1"/>
        <v>0.35525914999999963</v>
      </c>
      <c r="G33" s="1595">
        <f t="shared" si="2"/>
        <v>0.72137227399999937</v>
      </c>
      <c r="H33" s="1561">
        <f t="shared" si="3"/>
        <v>0.99331601119999846</v>
      </c>
      <c r="I33" s="1562">
        <f t="shared" si="4"/>
        <v>1.4667307699999972</v>
      </c>
      <c r="J33" s="1563">
        <f t="shared" si="5"/>
        <v>5.101899999999989</v>
      </c>
      <c r="K33" s="1596">
        <f t="shared" si="6"/>
        <v>9.3304951000000091</v>
      </c>
      <c r="L33" s="1565">
        <f t="shared" si="7"/>
        <v>18.826199999999968</v>
      </c>
      <c r="M33" s="1566">
        <f t="shared" si="8"/>
        <v>29.968625280000026</v>
      </c>
      <c r="N33" s="1131">
        <f t="shared" si="9"/>
        <v>35.496218469999974</v>
      </c>
      <c r="O33" s="1129">
        <v>7</v>
      </c>
      <c r="P33" s="1597">
        <f t="shared" si="10"/>
        <v>103.25235307240006</v>
      </c>
      <c r="Q33" s="1545"/>
      <c r="R33" s="1601"/>
    </row>
    <row r="34" spans="1:18" ht="14" customHeight="1" x14ac:dyDescent="0.15">
      <c r="A34" s="1599"/>
      <c r="B34" s="1545"/>
      <c r="C34" s="1132">
        <v>6.9</v>
      </c>
      <c r="D34" s="1545"/>
      <c r="E34" s="1569">
        <f t="shared" si="0"/>
        <v>0.99262422831300079</v>
      </c>
      <c r="F34" s="1570">
        <f t="shared" si="1"/>
        <v>0.35685113799999962</v>
      </c>
      <c r="G34" s="1571">
        <f t="shared" si="2"/>
        <v>0.72147025979999935</v>
      </c>
      <c r="H34" s="1572">
        <f t="shared" si="3"/>
        <v>0.99365021519999841</v>
      </c>
      <c r="I34" s="1573">
        <f t="shared" si="4"/>
        <v>1.4695773469999971</v>
      </c>
      <c r="J34" s="1574">
        <f t="shared" si="5"/>
        <v>5.1069299999999886</v>
      </c>
      <c r="K34" s="1575">
        <f t="shared" si="6"/>
        <v>9.3408238620000095</v>
      </c>
      <c r="L34" s="1576">
        <f t="shared" si="7"/>
        <v>18.844339999999967</v>
      </c>
      <c r="M34" s="1577">
        <f t="shared" si="8"/>
        <v>29.975377091000027</v>
      </c>
      <c r="N34" s="1134">
        <f t="shared" si="9"/>
        <v>35.693646028999972</v>
      </c>
      <c r="O34" s="1132">
        <v>6.9</v>
      </c>
      <c r="P34" s="1578">
        <f t="shared" si="10"/>
        <v>103.49529016340006</v>
      </c>
      <c r="Q34" s="1545"/>
      <c r="R34" s="1545"/>
    </row>
    <row r="35" spans="1:18" ht="14" customHeight="1" x14ac:dyDescent="0.15">
      <c r="A35" s="1599"/>
      <c r="B35" s="1545"/>
      <c r="C35" s="1132">
        <v>6.8</v>
      </c>
      <c r="D35" s="1545"/>
      <c r="E35" s="1569">
        <f t="shared" si="0"/>
        <v>0.99301243273600082</v>
      </c>
      <c r="F35" s="1570">
        <f t="shared" si="1"/>
        <v>0.35844312599999961</v>
      </c>
      <c r="G35" s="1582">
        <f t="shared" si="2"/>
        <v>0.72156824559999933</v>
      </c>
      <c r="H35" s="1572">
        <f t="shared" si="3"/>
        <v>0.99398441919999836</v>
      </c>
      <c r="I35" s="1573">
        <f t="shared" si="4"/>
        <v>1.472423923999997</v>
      </c>
      <c r="J35" s="1574">
        <f t="shared" si="5"/>
        <v>5.1119599999999883</v>
      </c>
      <c r="K35" s="1583">
        <f t="shared" si="6"/>
        <v>9.3511526240000098</v>
      </c>
      <c r="L35" s="1576">
        <f t="shared" si="7"/>
        <v>18.862479999999966</v>
      </c>
      <c r="M35" s="1577">
        <f t="shared" si="8"/>
        <v>29.982128902000028</v>
      </c>
      <c r="N35" s="1134">
        <f t="shared" si="9"/>
        <v>35.891073587999969</v>
      </c>
      <c r="O35" s="1132">
        <v>6.8</v>
      </c>
      <c r="P35" s="1578">
        <f t="shared" si="10"/>
        <v>103.73822725440006</v>
      </c>
      <c r="Q35" s="1545"/>
      <c r="R35" s="1545"/>
    </row>
    <row r="36" spans="1:18" ht="14" customHeight="1" x14ac:dyDescent="0.15">
      <c r="A36" s="1599"/>
      <c r="B36" s="1545"/>
      <c r="C36" s="1132">
        <v>6.7</v>
      </c>
      <c r="D36" s="1545"/>
      <c r="E36" s="1569">
        <f t="shared" ref="E36:E67" si="11">E35+0.000388204423</f>
        <v>0.99340063715900084</v>
      </c>
      <c r="F36" s="1570">
        <f t="shared" ref="F36:F67" si="12">F35+0.001591988</f>
        <v>0.3600351139999996</v>
      </c>
      <c r="G36" s="1571">
        <f t="shared" ref="G36:G67" si="13">G35+0.0000979858</f>
        <v>0.7216662313999993</v>
      </c>
      <c r="H36" s="1572">
        <f t="shared" ref="H36:H67" si="14">H35+0.000334204</f>
        <v>0.99431862319999831</v>
      </c>
      <c r="I36" s="1573">
        <f t="shared" ref="I36:I67" si="15">I35+0.002846577</f>
        <v>1.4752705009999969</v>
      </c>
      <c r="J36" s="1574">
        <f t="shared" ref="J36:J67" si="16">J35+0.00503</f>
        <v>5.1169899999999879</v>
      </c>
      <c r="K36" s="1575">
        <f t="shared" ref="K36:K67" si="17">K35+0.010328762</f>
        <v>9.3614813860000101</v>
      </c>
      <c r="L36" s="1576">
        <f t="shared" ref="L36:L67" si="18">L35+0.01814</f>
        <v>18.880619999999965</v>
      </c>
      <c r="M36" s="1577">
        <f t="shared" ref="M36:M67" si="19">M35+0.006751811</f>
        <v>29.988880713000029</v>
      </c>
      <c r="N36" s="1134">
        <f t="shared" ref="N36:N67" si="20">N35+0.197427559</f>
        <v>36.088501146999967</v>
      </c>
      <c r="O36" s="1132">
        <v>6.7</v>
      </c>
      <c r="P36" s="1578">
        <f t="shared" ref="P36:P67" si="21">P35+0.242937091</f>
        <v>103.98116434540006</v>
      </c>
      <c r="Q36" s="1545"/>
      <c r="R36" s="1545"/>
    </row>
    <row r="37" spans="1:18" ht="14" customHeight="1" x14ac:dyDescent="0.15">
      <c r="A37" s="1599"/>
      <c r="B37" s="1545"/>
      <c r="C37" s="1132">
        <v>6.6</v>
      </c>
      <c r="D37" s="1545"/>
      <c r="E37" s="1569">
        <f t="shared" si="11"/>
        <v>0.99378884158200087</v>
      </c>
      <c r="F37" s="1570">
        <f t="shared" si="12"/>
        <v>0.36162710199999959</v>
      </c>
      <c r="G37" s="1582">
        <f t="shared" si="13"/>
        <v>0.72176421719999928</v>
      </c>
      <c r="H37" s="1572">
        <f t="shared" si="14"/>
        <v>0.99465282719999826</v>
      </c>
      <c r="I37" s="1573">
        <f t="shared" si="15"/>
        <v>1.4781170779999968</v>
      </c>
      <c r="J37" s="1574">
        <f t="shared" si="16"/>
        <v>5.1220199999999876</v>
      </c>
      <c r="K37" s="1583">
        <f t="shared" si="17"/>
        <v>9.3718101480000104</v>
      </c>
      <c r="L37" s="1576">
        <f t="shared" si="18"/>
        <v>18.898759999999964</v>
      </c>
      <c r="M37" s="1577">
        <f t="shared" si="19"/>
        <v>29.99563252400003</v>
      </c>
      <c r="N37" s="1134">
        <f t="shared" si="20"/>
        <v>36.285928705999964</v>
      </c>
      <c r="O37" s="1132">
        <v>6.6</v>
      </c>
      <c r="P37" s="1578">
        <f t="shared" si="21"/>
        <v>104.22410143640006</v>
      </c>
      <c r="Q37" s="1545"/>
      <c r="R37" s="1545"/>
    </row>
    <row r="38" spans="1:18" ht="14" customHeight="1" x14ac:dyDescent="0.15">
      <c r="A38" s="1599"/>
      <c r="B38" s="1545"/>
      <c r="C38" s="1132">
        <v>6.5</v>
      </c>
      <c r="D38" s="1545"/>
      <c r="E38" s="1569">
        <f t="shared" si="11"/>
        <v>0.9941770460050009</v>
      </c>
      <c r="F38" s="1570">
        <f t="shared" si="12"/>
        <v>0.36321908999999958</v>
      </c>
      <c r="G38" s="1571">
        <f t="shared" si="13"/>
        <v>0.72186220299999926</v>
      </c>
      <c r="H38" s="1572">
        <f t="shared" si="14"/>
        <v>0.99498703119999821</v>
      </c>
      <c r="I38" s="1573">
        <f t="shared" si="15"/>
        <v>1.4809636549999967</v>
      </c>
      <c r="J38" s="1574">
        <f t="shared" si="16"/>
        <v>5.1270499999999872</v>
      </c>
      <c r="K38" s="1575">
        <f t="shared" si="17"/>
        <v>9.3821389100000108</v>
      </c>
      <c r="L38" s="1576">
        <f t="shared" si="18"/>
        <v>18.916899999999963</v>
      </c>
      <c r="M38" s="1577">
        <f t="shared" si="19"/>
        <v>30.002384335000031</v>
      </c>
      <c r="N38" s="1134">
        <f t="shared" si="20"/>
        <v>36.483356264999962</v>
      </c>
      <c r="O38" s="1132">
        <v>6.5</v>
      </c>
      <c r="P38" s="1578">
        <f t="shared" si="21"/>
        <v>104.46703852740006</v>
      </c>
      <c r="Q38" s="1545"/>
      <c r="R38" s="1545"/>
    </row>
    <row r="39" spans="1:18" ht="14" customHeight="1" x14ac:dyDescent="0.15">
      <c r="A39" s="1599"/>
      <c r="B39" s="1545"/>
      <c r="C39" s="1132">
        <v>6.4</v>
      </c>
      <c r="D39" s="1545"/>
      <c r="E39" s="1569">
        <f t="shared" si="11"/>
        <v>0.99456525042800092</v>
      </c>
      <c r="F39" s="1570">
        <f t="shared" si="12"/>
        <v>0.36481107799999957</v>
      </c>
      <c r="G39" s="1582">
        <f t="shared" si="13"/>
        <v>0.72196018879999924</v>
      </c>
      <c r="H39" s="1572">
        <f t="shared" si="14"/>
        <v>0.99532123519999816</v>
      </c>
      <c r="I39" s="1573">
        <f t="shared" si="15"/>
        <v>1.4838102319999966</v>
      </c>
      <c r="J39" s="1574">
        <f t="shared" si="16"/>
        <v>5.1320799999999869</v>
      </c>
      <c r="K39" s="1583">
        <f t="shared" si="17"/>
        <v>9.3924676720000111</v>
      </c>
      <c r="L39" s="1576">
        <f t="shared" si="18"/>
        <v>18.935039999999962</v>
      </c>
      <c r="M39" s="1577">
        <f t="shared" si="19"/>
        <v>30.009136146000031</v>
      </c>
      <c r="N39" s="1134">
        <f t="shared" si="20"/>
        <v>36.68078382399996</v>
      </c>
      <c r="O39" s="1132">
        <v>6.4</v>
      </c>
      <c r="P39" s="1578">
        <f t="shared" si="21"/>
        <v>104.70997561840007</v>
      </c>
      <c r="Q39" s="1545"/>
      <c r="R39" s="1545"/>
    </row>
    <row r="40" spans="1:18" ht="14" customHeight="1" x14ac:dyDescent="0.15">
      <c r="A40" s="1599"/>
      <c r="B40" s="1545"/>
      <c r="C40" s="1132">
        <v>6.3</v>
      </c>
      <c r="D40" s="1545"/>
      <c r="E40" s="1569">
        <f t="shared" si="11"/>
        <v>0.99495345485100095</v>
      </c>
      <c r="F40" s="1570">
        <f t="shared" si="12"/>
        <v>0.36640306599999956</v>
      </c>
      <c r="G40" s="1571">
        <f t="shared" si="13"/>
        <v>0.72205817459999921</v>
      </c>
      <c r="H40" s="1572">
        <f t="shared" si="14"/>
        <v>0.9956554391999981</v>
      </c>
      <c r="I40" s="1573">
        <f t="shared" si="15"/>
        <v>1.4866568089999965</v>
      </c>
      <c r="J40" s="1574">
        <f t="shared" si="16"/>
        <v>5.1371099999999865</v>
      </c>
      <c r="K40" s="1575">
        <f t="shared" si="17"/>
        <v>9.4027964340000114</v>
      </c>
      <c r="L40" s="1576">
        <f t="shared" si="18"/>
        <v>18.953179999999961</v>
      </c>
      <c r="M40" s="1577">
        <f t="shared" si="19"/>
        <v>30.015887957000032</v>
      </c>
      <c r="N40" s="1134">
        <f t="shared" si="20"/>
        <v>36.878211382999957</v>
      </c>
      <c r="O40" s="1132">
        <v>6.3</v>
      </c>
      <c r="P40" s="1578">
        <f t="shared" si="21"/>
        <v>104.95291270940007</v>
      </c>
      <c r="Q40" s="1545"/>
      <c r="R40" s="1545"/>
    </row>
    <row r="41" spans="1:18" ht="14" customHeight="1" x14ac:dyDescent="0.15">
      <c r="A41" s="1599"/>
      <c r="B41" s="1545"/>
      <c r="C41" s="1132">
        <v>6.2</v>
      </c>
      <c r="D41" s="1545"/>
      <c r="E41" s="1569">
        <f t="shared" si="11"/>
        <v>0.99534165927400098</v>
      </c>
      <c r="F41" s="1570">
        <f t="shared" si="12"/>
        <v>0.36799505399999954</v>
      </c>
      <c r="G41" s="1582">
        <f t="shared" si="13"/>
        <v>0.72215616039999919</v>
      </c>
      <c r="H41" s="1572">
        <f t="shared" si="14"/>
        <v>0.99598964319999805</v>
      </c>
      <c r="I41" s="1573">
        <f t="shared" si="15"/>
        <v>1.4895033859999964</v>
      </c>
      <c r="J41" s="1574">
        <f t="shared" si="16"/>
        <v>5.1421399999999862</v>
      </c>
      <c r="K41" s="1583">
        <f t="shared" si="17"/>
        <v>9.4131251960000117</v>
      </c>
      <c r="L41" s="1576">
        <f t="shared" si="18"/>
        <v>18.97131999999996</v>
      </c>
      <c r="M41" s="1577">
        <f t="shared" si="19"/>
        <v>30.022639768000033</v>
      </c>
      <c r="N41" s="1134">
        <f t="shared" si="20"/>
        <v>37.075638941999955</v>
      </c>
      <c r="O41" s="1132">
        <v>6.2</v>
      </c>
      <c r="P41" s="1578">
        <f t="shared" si="21"/>
        <v>105.19584980040007</v>
      </c>
      <c r="Q41" s="1545"/>
      <c r="R41" s="1545"/>
    </row>
    <row r="42" spans="1:18" ht="14" customHeight="1" x14ac:dyDescent="0.15">
      <c r="A42" s="1599"/>
      <c r="B42" s="1545"/>
      <c r="C42" s="1132">
        <v>6.1</v>
      </c>
      <c r="D42" s="1545"/>
      <c r="E42" s="1569">
        <f t="shared" si="11"/>
        <v>0.99572986369700101</v>
      </c>
      <c r="F42" s="1570">
        <f t="shared" si="12"/>
        <v>0.36958704199999953</v>
      </c>
      <c r="G42" s="1571">
        <f t="shared" si="13"/>
        <v>0.72225414619999917</v>
      </c>
      <c r="H42" s="1572">
        <f t="shared" si="14"/>
        <v>0.996323847199998</v>
      </c>
      <c r="I42" s="1573">
        <f t="shared" si="15"/>
        <v>1.4923499629999963</v>
      </c>
      <c r="J42" s="1574">
        <f t="shared" si="16"/>
        <v>5.1471699999999858</v>
      </c>
      <c r="K42" s="1575">
        <f t="shared" si="17"/>
        <v>9.4234539580000121</v>
      </c>
      <c r="L42" s="1576">
        <f t="shared" si="18"/>
        <v>18.989459999999958</v>
      </c>
      <c r="M42" s="1577">
        <f t="shared" si="19"/>
        <v>30.029391579000034</v>
      </c>
      <c r="N42" s="1134">
        <f t="shared" si="20"/>
        <v>37.273066500999953</v>
      </c>
      <c r="O42" s="1132">
        <v>6.1</v>
      </c>
      <c r="P42" s="1578">
        <f t="shared" si="21"/>
        <v>105.43878689140007</v>
      </c>
      <c r="Q42" s="1545"/>
      <c r="R42" s="1545"/>
    </row>
    <row r="43" spans="1:18" ht="16" customHeight="1" x14ac:dyDescent="0.15">
      <c r="A43" s="1599"/>
      <c r="B43" s="1545"/>
      <c r="C43" s="1129">
        <v>6</v>
      </c>
      <c r="D43" s="1557"/>
      <c r="E43" s="1558">
        <f t="shared" si="11"/>
        <v>0.99611806812000103</v>
      </c>
      <c r="F43" s="1559">
        <f t="shared" si="12"/>
        <v>0.37117902999999952</v>
      </c>
      <c r="G43" s="1595">
        <f t="shared" si="13"/>
        <v>0.72235213199999915</v>
      </c>
      <c r="H43" s="1561">
        <f t="shared" si="14"/>
        <v>0.99665805119999795</v>
      </c>
      <c r="I43" s="1562">
        <f t="shared" si="15"/>
        <v>1.4951965399999962</v>
      </c>
      <c r="J43" s="1563">
        <f t="shared" si="16"/>
        <v>5.1521999999999855</v>
      </c>
      <c r="K43" s="1596">
        <f t="shared" si="17"/>
        <v>9.4337827200000124</v>
      </c>
      <c r="L43" s="1565">
        <f t="shared" si="18"/>
        <v>19.007599999999957</v>
      </c>
      <c r="M43" s="1566">
        <f t="shared" si="19"/>
        <v>30.036143390000035</v>
      </c>
      <c r="N43" s="1131">
        <f t="shared" si="20"/>
        <v>37.47049405999995</v>
      </c>
      <c r="O43" s="1129">
        <v>6</v>
      </c>
      <c r="P43" s="1597">
        <f t="shared" si="21"/>
        <v>105.68172398240007</v>
      </c>
      <c r="Q43" s="1545"/>
      <c r="R43" s="1601"/>
    </row>
    <row r="44" spans="1:18" ht="14" customHeight="1" x14ac:dyDescent="0.15">
      <c r="A44" s="1599"/>
      <c r="B44" s="1545"/>
      <c r="C44" s="1132">
        <v>5.9</v>
      </c>
      <c r="D44" s="1545"/>
      <c r="E44" s="1569">
        <f t="shared" si="11"/>
        <v>0.99650627254300106</v>
      </c>
      <c r="F44" s="1570">
        <f t="shared" si="12"/>
        <v>0.37277101799999951</v>
      </c>
      <c r="G44" s="1571">
        <f t="shared" si="13"/>
        <v>0.72245011779999913</v>
      </c>
      <c r="H44" s="1572">
        <f t="shared" si="14"/>
        <v>0.9969922551999979</v>
      </c>
      <c r="I44" s="1573">
        <f t="shared" si="15"/>
        <v>1.4980431169999961</v>
      </c>
      <c r="J44" s="1574">
        <f t="shared" si="16"/>
        <v>5.1572299999999851</v>
      </c>
      <c r="K44" s="1575">
        <f t="shared" si="17"/>
        <v>9.4441114820000127</v>
      </c>
      <c r="L44" s="1576">
        <f t="shared" si="18"/>
        <v>19.025739999999956</v>
      </c>
      <c r="M44" s="1577">
        <f t="shared" si="19"/>
        <v>30.042895201000036</v>
      </c>
      <c r="N44" s="1134">
        <f t="shared" si="20"/>
        <v>37.667921618999948</v>
      </c>
      <c r="O44" s="1132">
        <v>5.9</v>
      </c>
      <c r="P44" s="1578">
        <f t="shared" si="21"/>
        <v>105.92466107340007</v>
      </c>
      <c r="Q44" s="1545"/>
      <c r="R44" s="1545"/>
    </row>
    <row r="45" spans="1:18" ht="14" customHeight="1" x14ac:dyDescent="0.15">
      <c r="A45" s="1599"/>
      <c r="B45" s="1545"/>
      <c r="C45" s="1132">
        <v>5.8</v>
      </c>
      <c r="D45" s="1545"/>
      <c r="E45" s="1569">
        <f t="shared" si="11"/>
        <v>0.99689447696600109</v>
      </c>
      <c r="F45" s="1570">
        <f t="shared" si="12"/>
        <v>0.3743630059999995</v>
      </c>
      <c r="G45" s="1582">
        <f t="shared" si="13"/>
        <v>0.7225481035999991</v>
      </c>
      <c r="H45" s="1572">
        <f t="shared" si="14"/>
        <v>0.99732645919999785</v>
      </c>
      <c r="I45" s="1573">
        <f t="shared" si="15"/>
        <v>1.5008896939999961</v>
      </c>
      <c r="J45" s="1574">
        <f t="shared" si="16"/>
        <v>5.1622599999999847</v>
      </c>
      <c r="K45" s="1583">
        <f t="shared" si="17"/>
        <v>9.454440244000013</v>
      </c>
      <c r="L45" s="1576">
        <f t="shared" si="18"/>
        <v>19.043879999999955</v>
      </c>
      <c r="M45" s="1577">
        <f t="shared" si="19"/>
        <v>30.049647012000037</v>
      </c>
      <c r="N45" s="1134">
        <f t="shared" si="20"/>
        <v>37.865349177999946</v>
      </c>
      <c r="O45" s="1132">
        <v>5.8</v>
      </c>
      <c r="P45" s="1578">
        <f t="shared" si="21"/>
        <v>106.16759816440008</v>
      </c>
      <c r="Q45" s="1545"/>
      <c r="R45" s="1545"/>
    </row>
    <row r="46" spans="1:18" ht="14" customHeight="1" x14ac:dyDescent="0.15">
      <c r="A46" s="1599"/>
      <c r="B46" s="1545"/>
      <c r="C46" s="1132">
        <v>5.7</v>
      </c>
      <c r="D46" s="1545"/>
      <c r="E46" s="1569">
        <f t="shared" si="11"/>
        <v>0.99728268138900111</v>
      </c>
      <c r="F46" s="1570">
        <f t="shared" si="12"/>
        <v>0.37595499399999949</v>
      </c>
      <c r="G46" s="1571">
        <f t="shared" si="13"/>
        <v>0.72264608939999908</v>
      </c>
      <c r="H46" s="1572">
        <f t="shared" si="14"/>
        <v>0.9976606631999978</v>
      </c>
      <c r="I46" s="1573">
        <f t="shared" si="15"/>
        <v>1.503736270999996</v>
      </c>
      <c r="J46" s="1574">
        <f t="shared" si="16"/>
        <v>5.1672899999999844</v>
      </c>
      <c r="K46" s="1575">
        <f t="shared" si="17"/>
        <v>9.4647690060000134</v>
      </c>
      <c r="L46" s="1576">
        <f t="shared" si="18"/>
        <v>19.062019999999954</v>
      </c>
      <c r="M46" s="1577">
        <f t="shared" si="19"/>
        <v>30.056398823000038</v>
      </c>
      <c r="N46" s="1134">
        <f t="shared" si="20"/>
        <v>38.062776736999943</v>
      </c>
      <c r="O46" s="1132">
        <v>5.7</v>
      </c>
      <c r="P46" s="1578">
        <f t="shared" si="21"/>
        <v>106.41053525540008</v>
      </c>
      <c r="Q46" s="1545"/>
      <c r="R46" s="1545"/>
    </row>
    <row r="47" spans="1:18" ht="14" customHeight="1" x14ac:dyDescent="0.15">
      <c r="A47" s="1599"/>
      <c r="B47" s="1545"/>
      <c r="C47" s="1132">
        <v>5.6</v>
      </c>
      <c r="D47" s="1545"/>
      <c r="E47" s="1569">
        <f t="shared" si="11"/>
        <v>0.99767088581200114</v>
      </c>
      <c r="F47" s="1570">
        <f t="shared" si="12"/>
        <v>0.37754698199999948</v>
      </c>
      <c r="G47" s="1582">
        <f t="shared" si="13"/>
        <v>0.72274407519999906</v>
      </c>
      <c r="H47" s="1572">
        <f t="shared" si="14"/>
        <v>0.99799486719999775</v>
      </c>
      <c r="I47" s="1573">
        <f t="shared" si="15"/>
        <v>1.5065828479999959</v>
      </c>
      <c r="J47" s="1574">
        <f t="shared" si="16"/>
        <v>5.172319999999984</v>
      </c>
      <c r="K47" s="1583">
        <f t="shared" si="17"/>
        <v>9.4750977680000137</v>
      </c>
      <c r="L47" s="1576">
        <f t="shared" si="18"/>
        <v>19.080159999999953</v>
      </c>
      <c r="M47" s="1577">
        <f t="shared" si="19"/>
        <v>30.063150634000039</v>
      </c>
      <c r="N47" s="1134">
        <f t="shared" si="20"/>
        <v>38.260204295999941</v>
      </c>
      <c r="O47" s="1132">
        <v>5.6</v>
      </c>
      <c r="P47" s="1578">
        <f t="shared" si="21"/>
        <v>106.65347234640008</v>
      </c>
      <c r="Q47" s="1545"/>
      <c r="R47" s="1545"/>
    </row>
    <row r="48" spans="1:18" ht="14" customHeight="1" x14ac:dyDescent="0.15">
      <c r="A48" s="1599"/>
      <c r="B48" s="1545"/>
      <c r="C48" s="1132">
        <v>5.5</v>
      </c>
      <c r="D48" s="1545"/>
      <c r="E48" s="1569">
        <f t="shared" si="11"/>
        <v>0.99805909023500117</v>
      </c>
      <c r="F48" s="1570">
        <f t="shared" si="12"/>
        <v>0.37913896999999946</v>
      </c>
      <c r="G48" s="1571">
        <f t="shared" si="13"/>
        <v>0.72284206099999904</v>
      </c>
      <c r="H48" s="1572">
        <f t="shared" si="14"/>
        <v>0.9983290711999977</v>
      </c>
      <c r="I48" s="1573">
        <f t="shared" si="15"/>
        <v>1.5094294249999958</v>
      </c>
      <c r="J48" s="1574">
        <f t="shared" si="16"/>
        <v>5.1773499999999837</v>
      </c>
      <c r="K48" s="1575">
        <f t="shared" si="17"/>
        <v>9.485426530000014</v>
      </c>
      <c r="L48" s="1576">
        <f t="shared" si="18"/>
        <v>19.098299999999952</v>
      </c>
      <c r="M48" s="1577">
        <f t="shared" si="19"/>
        <v>30.069902445000039</v>
      </c>
      <c r="N48" s="1134">
        <f t="shared" si="20"/>
        <v>38.457631854999939</v>
      </c>
      <c r="O48" s="1132">
        <v>5.5</v>
      </c>
      <c r="P48" s="1578">
        <f t="shared" si="21"/>
        <v>106.89640943740008</v>
      </c>
      <c r="Q48" s="1545"/>
      <c r="R48" s="1545"/>
    </row>
    <row r="49" spans="1:18" ht="14" customHeight="1" x14ac:dyDescent="0.15">
      <c r="A49" s="1599"/>
      <c r="B49" s="1545"/>
      <c r="C49" s="1132">
        <v>5.4</v>
      </c>
      <c r="D49" s="1545"/>
      <c r="E49" s="1569">
        <f t="shared" si="11"/>
        <v>0.99844729465800119</v>
      </c>
      <c r="F49" s="1570">
        <f t="shared" si="12"/>
        <v>0.38073095799999945</v>
      </c>
      <c r="G49" s="1582">
        <f t="shared" si="13"/>
        <v>0.72294004679999901</v>
      </c>
      <c r="H49" s="1572">
        <f t="shared" si="14"/>
        <v>0.99866327519999765</v>
      </c>
      <c r="I49" s="1573">
        <f t="shared" si="15"/>
        <v>1.5122760019999957</v>
      </c>
      <c r="J49" s="1574">
        <f t="shared" si="16"/>
        <v>5.1823799999999833</v>
      </c>
      <c r="K49" s="1583">
        <f t="shared" si="17"/>
        <v>9.4957552920000143</v>
      </c>
      <c r="L49" s="1576">
        <f t="shared" si="18"/>
        <v>19.116439999999951</v>
      </c>
      <c r="M49" s="1577">
        <f t="shared" si="19"/>
        <v>30.07665425600004</v>
      </c>
      <c r="N49" s="1134">
        <f t="shared" si="20"/>
        <v>38.655059413999936</v>
      </c>
      <c r="O49" s="1132">
        <v>5.4</v>
      </c>
      <c r="P49" s="1578">
        <f t="shared" si="21"/>
        <v>107.13934652840008</v>
      </c>
      <c r="Q49" s="1545"/>
      <c r="R49" s="1545"/>
    </row>
    <row r="50" spans="1:18" ht="14" customHeight="1" x14ac:dyDescent="0.15">
      <c r="A50" s="1599"/>
      <c r="B50" s="1545"/>
      <c r="C50" s="1132">
        <v>5.3</v>
      </c>
      <c r="D50" s="1545"/>
      <c r="E50" s="1569">
        <f t="shared" si="11"/>
        <v>0.99883549908100122</v>
      </c>
      <c r="F50" s="1570">
        <f t="shared" si="12"/>
        <v>0.38232294599999944</v>
      </c>
      <c r="G50" s="1571">
        <f t="shared" si="13"/>
        <v>0.72303803259999899</v>
      </c>
      <c r="H50" s="1572">
        <f t="shared" si="14"/>
        <v>0.9989974791999976</v>
      </c>
      <c r="I50" s="1573">
        <f t="shared" si="15"/>
        <v>1.5151225789999956</v>
      </c>
      <c r="J50" s="1574">
        <f t="shared" si="16"/>
        <v>5.187409999999983</v>
      </c>
      <c r="K50" s="1575">
        <f t="shared" si="17"/>
        <v>9.5060840540000147</v>
      </c>
      <c r="L50" s="1576">
        <f t="shared" si="18"/>
        <v>19.13457999999995</v>
      </c>
      <c r="M50" s="1577">
        <f t="shared" si="19"/>
        <v>30.083406067000041</v>
      </c>
      <c r="N50" s="1134">
        <f t="shared" si="20"/>
        <v>38.852486972999934</v>
      </c>
      <c r="O50" s="1132">
        <v>5.3</v>
      </c>
      <c r="P50" s="1578">
        <f t="shared" si="21"/>
        <v>107.38228361940008</v>
      </c>
      <c r="Q50" s="1545"/>
      <c r="R50" s="1545"/>
    </row>
    <row r="51" spans="1:18" ht="14" customHeight="1" x14ac:dyDescent="0.15">
      <c r="A51" s="1599"/>
      <c r="B51" s="1545"/>
      <c r="C51" s="1132">
        <v>5.2</v>
      </c>
      <c r="D51" s="1545"/>
      <c r="E51" s="1569">
        <f t="shared" si="11"/>
        <v>0.99922370350400125</v>
      </c>
      <c r="F51" s="1570">
        <f t="shared" si="12"/>
        <v>0.38391493399999943</v>
      </c>
      <c r="G51" s="1582">
        <f t="shared" si="13"/>
        <v>0.72313601839999897</v>
      </c>
      <c r="H51" s="1572">
        <f t="shared" si="14"/>
        <v>0.99933168319999754</v>
      </c>
      <c r="I51" s="1573">
        <f t="shared" si="15"/>
        <v>1.5179691559999955</v>
      </c>
      <c r="J51" s="1574">
        <f t="shared" si="16"/>
        <v>5.1924399999999826</v>
      </c>
      <c r="K51" s="1583">
        <f t="shared" si="17"/>
        <v>9.516412816000015</v>
      </c>
      <c r="L51" s="1576">
        <f t="shared" si="18"/>
        <v>19.152719999999949</v>
      </c>
      <c r="M51" s="1577">
        <f t="shared" si="19"/>
        <v>30.090157878000042</v>
      </c>
      <c r="N51" s="1134">
        <f t="shared" si="20"/>
        <v>39.049914531999931</v>
      </c>
      <c r="O51" s="1132">
        <v>5.2</v>
      </c>
      <c r="P51" s="1578">
        <f t="shared" si="21"/>
        <v>107.62522071040009</v>
      </c>
      <c r="Q51" s="1545"/>
      <c r="R51" s="1545"/>
    </row>
    <row r="52" spans="1:18" ht="14" customHeight="1" x14ac:dyDescent="0.15">
      <c r="A52" s="1599"/>
      <c r="B52" s="1545"/>
      <c r="C52" s="1132">
        <v>5.0999999999999996</v>
      </c>
      <c r="D52" s="1545"/>
      <c r="E52" s="1569">
        <f t="shared" si="11"/>
        <v>0.99961190792700128</v>
      </c>
      <c r="F52" s="1570">
        <f t="shared" si="12"/>
        <v>0.38550692199999942</v>
      </c>
      <c r="G52" s="1571">
        <f t="shared" si="13"/>
        <v>0.72323400419999895</v>
      </c>
      <c r="H52" s="1572">
        <f t="shared" si="14"/>
        <v>0.99966588719999749</v>
      </c>
      <c r="I52" s="1573">
        <f t="shared" si="15"/>
        <v>1.5208157329999954</v>
      </c>
      <c r="J52" s="1574">
        <f t="shared" si="16"/>
        <v>5.1974699999999823</v>
      </c>
      <c r="K52" s="1575">
        <f t="shared" si="17"/>
        <v>9.5267415780000153</v>
      </c>
      <c r="L52" s="1576">
        <f t="shared" si="18"/>
        <v>19.170859999999948</v>
      </c>
      <c r="M52" s="1577">
        <f t="shared" si="19"/>
        <v>30.096909689000043</v>
      </c>
      <c r="N52" s="1134">
        <f t="shared" si="20"/>
        <v>39.247342090999929</v>
      </c>
      <c r="O52" s="1132">
        <v>5.0999999999999996</v>
      </c>
      <c r="P52" s="1578">
        <f t="shared" si="21"/>
        <v>107.86815780140009</v>
      </c>
      <c r="Q52" s="1545"/>
      <c r="R52" s="1545"/>
    </row>
    <row r="53" spans="1:18" ht="16" customHeight="1" x14ac:dyDescent="0.15">
      <c r="A53" s="1599"/>
      <c r="B53" s="1545"/>
      <c r="C53" s="1129">
        <v>5</v>
      </c>
      <c r="D53" s="1557"/>
      <c r="E53" s="1558">
        <f t="shared" si="11"/>
        <v>1.0000001123500013</v>
      </c>
      <c r="F53" s="1559">
        <f t="shared" si="12"/>
        <v>0.38709890999999941</v>
      </c>
      <c r="G53" s="1595">
        <f t="shared" si="13"/>
        <v>0.72333198999999893</v>
      </c>
      <c r="H53" s="1561">
        <f t="shared" si="14"/>
        <v>1.0000000911999976</v>
      </c>
      <c r="I53" s="1562">
        <f t="shared" si="15"/>
        <v>1.5236623099999953</v>
      </c>
      <c r="J53" s="1563">
        <f t="shared" si="16"/>
        <v>5.2024999999999819</v>
      </c>
      <c r="K53" s="1596">
        <f t="shared" si="17"/>
        <v>9.5370703400000156</v>
      </c>
      <c r="L53" s="1565">
        <f t="shared" si="18"/>
        <v>19.188999999999947</v>
      </c>
      <c r="M53" s="1566">
        <f t="shared" si="19"/>
        <v>30.103661500000044</v>
      </c>
      <c r="N53" s="1131">
        <f t="shared" si="20"/>
        <v>39.444769649999927</v>
      </c>
      <c r="O53" s="1129">
        <v>5</v>
      </c>
      <c r="P53" s="1597">
        <f t="shared" si="21"/>
        <v>108.11109489240009</v>
      </c>
      <c r="Q53" s="1545"/>
      <c r="R53" s="1601"/>
    </row>
    <row r="54" spans="1:18" ht="14" customHeight="1" x14ac:dyDescent="0.15">
      <c r="A54" s="1599"/>
      <c r="B54" s="1545"/>
      <c r="C54" s="1132">
        <v>4.9000000000000004</v>
      </c>
      <c r="D54" s="1545"/>
      <c r="E54" s="1569">
        <f t="shared" si="11"/>
        <v>1.0003883167730012</v>
      </c>
      <c r="F54" s="1570">
        <f t="shared" si="12"/>
        <v>0.3886908979999994</v>
      </c>
      <c r="G54" s="1571">
        <f t="shared" si="13"/>
        <v>0.7234299757999989</v>
      </c>
      <c r="H54" s="1572">
        <f t="shared" si="14"/>
        <v>1.0003342951999976</v>
      </c>
      <c r="I54" s="1573">
        <f t="shared" si="15"/>
        <v>1.5265088869999952</v>
      </c>
      <c r="J54" s="1574">
        <f t="shared" si="16"/>
        <v>5.2075299999999816</v>
      </c>
      <c r="K54" s="1575">
        <f t="shared" si="17"/>
        <v>9.547399102000016</v>
      </c>
      <c r="L54" s="1576">
        <f t="shared" si="18"/>
        <v>19.207139999999946</v>
      </c>
      <c r="M54" s="1577">
        <f t="shared" si="19"/>
        <v>30.110413311000045</v>
      </c>
      <c r="N54" s="1134">
        <f t="shared" si="20"/>
        <v>39.642197208999924</v>
      </c>
      <c r="O54" s="1132">
        <v>4.9000000000000004</v>
      </c>
      <c r="P54" s="1578">
        <f t="shared" si="21"/>
        <v>108.35403198340009</v>
      </c>
      <c r="Q54" s="1545"/>
      <c r="R54" s="1545"/>
    </row>
    <row r="55" spans="1:18" ht="14" customHeight="1" x14ac:dyDescent="0.15">
      <c r="A55" s="1599"/>
      <c r="B55" s="1545"/>
      <c r="C55" s="1132">
        <v>4.8</v>
      </c>
      <c r="D55" s="1545"/>
      <c r="E55" s="1569">
        <f t="shared" si="11"/>
        <v>1.0007765211960011</v>
      </c>
      <c r="F55" s="1570">
        <f t="shared" si="12"/>
        <v>0.39028288599999938</v>
      </c>
      <c r="G55" s="1582">
        <f t="shared" si="13"/>
        <v>0.72352796159999888</v>
      </c>
      <c r="H55" s="1572">
        <f t="shared" si="14"/>
        <v>1.0006684991999977</v>
      </c>
      <c r="I55" s="1573">
        <f t="shared" si="15"/>
        <v>1.5293554639999951</v>
      </c>
      <c r="J55" s="1574">
        <f t="shared" si="16"/>
        <v>5.2125599999999812</v>
      </c>
      <c r="K55" s="1583">
        <f t="shared" si="17"/>
        <v>9.5577278640000163</v>
      </c>
      <c r="L55" s="1576">
        <f t="shared" si="18"/>
        <v>19.225279999999945</v>
      </c>
      <c r="M55" s="1577">
        <f t="shared" si="19"/>
        <v>30.117165122000046</v>
      </c>
      <c r="N55" s="1134">
        <f t="shared" si="20"/>
        <v>39.839624767999922</v>
      </c>
      <c r="O55" s="1132">
        <v>4.8</v>
      </c>
      <c r="P55" s="1578">
        <f t="shared" si="21"/>
        <v>108.59696907440009</v>
      </c>
      <c r="Q55" s="1545"/>
      <c r="R55" s="1545"/>
    </row>
    <row r="56" spans="1:18" ht="14" customHeight="1" x14ac:dyDescent="0.15">
      <c r="A56" s="1599"/>
      <c r="B56" s="1545"/>
      <c r="C56" s="1132">
        <v>4.7</v>
      </c>
      <c r="D56" s="1545"/>
      <c r="E56" s="1569">
        <f t="shared" si="11"/>
        <v>1.0011647256190011</v>
      </c>
      <c r="F56" s="1570">
        <f t="shared" si="12"/>
        <v>0.39187487399999937</v>
      </c>
      <c r="G56" s="1571">
        <f t="shared" si="13"/>
        <v>0.72362594739999886</v>
      </c>
      <c r="H56" s="1572">
        <f t="shared" si="14"/>
        <v>1.0010027031999977</v>
      </c>
      <c r="I56" s="1573">
        <f t="shared" si="15"/>
        <v>1.532202040999995</v>
      </c>
      <c r="J56" s="1574">
        <f t="shared" si="16"/>
        <v>5.2175899999999809</v>
      </c>
      <c r="K56" s="1575">
        <f t="shared" si="17"/>
        <v>9.5680566260000166</v>
      </c>
      <c r="L56" s="1576">
        <f t="shared" si="18"/>
        <v>19.243419999999944</v>
      </c>
      <c r="M56" s="1577">
        <f t="shared" si="19"/>
        <v>30.123916933000046</v>
      </c>
      <c r="N56" s="1134">
        <f t="shared" si="20"/>
        <v>40.03705232699992</v>
      </c>
      <c r="O56" s="1132">
        <v>4.7</v>
      </c>
      <c r="P56" s="1578">
        <f t="shared" si="21"/>
        <v>108.83990616540009</v>
      </c>
      <c r="Q56" s="1545"/>
      <c r="R56" s="1545"/>
    </row>
    <row r="57" spans="1:18" ht="14" customHeight="1" x14ac:dyDescent="0.15">
      <c r="A57" s="1599"/>
      <c r="B57" s="1545"/>
      <c r="C57" s="1132">
        <v>4.5999999999999996</v>
      </c>
      <c r="D57" s="1545"/>
      <c r="E57" s="1569">
        <f t="shared" si="11"/>
        <v>1.001552930042001</v>
      </c>
      <c r="F57" s="1570">
        <f t="shared" si="12"/>
        <v>0.39346686199999936</v>
      </c>
      <c r="G57" s="1582">
        <f t="shared" si="13"/>
        <v>0.72372393319999884</v>
      </c>
      <c r="H57" s="1572">
        <f t="shared" si="14"/>
        <v>1.0013369071999978</v>
      </c>
      <c r="I57" s="1573">
        <f t="shared" si="15"/>
        <v>1.5350486179999949</v>
      </c>
      <c r="J57" s="1574">
        <f t="shared" si="16"/>
        <v>5.2226199999999805</v>
      </c>
      <c r="K57" s="1583">
        <f t="shared" si="17"/>
        <v>9.5783853880000169</v>
      </c>
      <c r="L57" s="1576">
        <f t="shared" si="18"/>
        <v>19.261559999999943</v>
      </c>
      <c r="M57" s="1577">
        <f t="shared" si="19"/>
        <v>30.130668744000047</v>
      </c>
      <c r="N57" s="1134">
        <f t="shared" si="20"/>
        <v>40.234479885999917</v>
      </c>
      <c r="O57" s="1132">
        <v>4.5999999999999996</v>
      </c>
      <c r="P57" s="1578">
        <f t="shared" si="21"/>
        <v>109.0828432564001</v>
      </c>
      <c r="Q57" s="1545"/>
      <c r="R57" s="1545"/>
    </row>
    <row r="58" spans="1:18" ht="14" customHeight="1" x14ac:dyDescent="0.15">
      <c r="A58" s="1599"/>
      <c r="B58" s="1545"/>
      <c r="C58" s="1132">
        <v>4.5</v>
      </c>
      <c r="D58" s="1545"/>
      <c r="E58" s="1569">
        <f t="shared" si="11"/>
        <v>1.0019411344650009</v>
      </c>
      <c r="F58" s="1570">
        <f t="shared" si="12"/>
        <v>0.39505884999999935</v>
      </c>
      <c r="G58" s="1571">
        <f t="shared" si="13"/>
        <v>0.72382191899999881</v>
      </c>
      <c r="H58" s="1572">
        <f t="shared" si="14"/>
        <v>1.0016711111999979</v>
      </c>
      <c r="I58" s="1573">
        <f t="shared" si="15"/>
        <v>1.5378951949999948</v>
      </c>
      <c r="J58" s="1574">
        <f t="shared" si="16"/>
        <v>5.2276499999999801</v>
      </c>
      <c r="K58" s="1575">
        <f t="shared" si="17"/>
        <v>9.5887141500000173</v>
      </c>
      <c r="L58" s="1576">
        <f t="shared" si="18"/>
        <v>19.279699999999941</v>
      </c>
      <c r="M58" s="1577">
        <f t="shared" si="19"/>
        <v>30.137420555000048</v>
      </c>
      <c r="N58" s="1134">
        <f t="shared" si="20"/>
        <v>40.431907444999915</v>
      </c>
      <c r="O58" s="1132">
        <v>4.5</v>
      </c>
      <c r="P58" s="1578">
        <f t="shared" si="21"/>
        <v>109.3257803474001</v>
      </c>
      <c r="Q58" s="1545"/>
      <c r="R58" s="1545"/>
    </row>
    <row r="59" spans="1:18" ht="14" customHeight="1" x14ac:dyDescent="0.15">
      <c r="A59" s="1599"/>
      <c r="B59" s="1545"/>
      <c r="C59" s="1132">
        <v>4.4000000000000004</v>
      </c>
      <c r="D59" s="1545"/>
      <c r="E59" s="1569">
        <f t="shared" si="11"/>
        <v>1.0023293388880008</v>
      </c>
      <c r="F59" s="1570">
        <f t="shared" si="12"/>
        <v>0.39665083799999934</v>
      </c>
      <c r="G59" s="1582">
        <f t="shared" si="13"/>
        <v>0.72391990479999879</v>
      </c>
      <c r="H59" s="1572">
        <f t="shared" si="14"/>
        <v>1.0020053151999979</v>
      </c>
      <c r="I59" s="1573">
        <f t="shared" si="15"/>
        <v>1.5407417719999947</v>
      </c>
      <c r="J59" s="1574">
        <f t="shared" si="16"/>
        <v>5.2326799999999798</v>
      </c>
      <c r="K59" s="1583">
        <f t="shared" si="17"/>
        <v>9.5990429120000176</v>
      </c>
      <c r="L59" s="1576">
        <f t="shared" si="18"/>
        <v>19.29783999999994</v>
      </c>
      <c r="M59" s="1577">
        <f t="shared" si="19"/>
        <v>30.144172366000049</v>
      </c>
      <c r="N59" s="1134">
        <f t="shared" si="20"/>
        <v>40.629335003999913</v>
      </c>
      <c r="O59" s="1132">
        <v>4.4000000000000004</v>
      </c>
      <c r="P59" s="1578">
        <f t="shared" si="21"/>
        <v>109.5687174384001</v>
      </c>
      <c r="Q59" s="1545"/>
      <c r="R59" s="1545"/>
    </row>
    <row r="60" spans="1:18" ht="14" customHeight="1" x14ac:dyDescent="0.15">
      <c r="A60" s="1599"/>
      <c r="B60" s="1545"/>
      <c r="C60" s="1132">
        <v>4.3</v>
      </c>
      <c r="D60" s="1545"/>
      <c r="E60" s="1569">
        <f t="shared" si="11"/>
        <v>1.0027175433110007</v>
      </c>
      <c r="F60" s="1570">
        <f t="shared" si="12"/>
        <v>0.39824282599999933</v>
      </c>
      <c r="G60" s="1571">
        <f t="shared" si="13"/>
        <v>0.72401789059999877</v>
      </c>
      <c r="H60" s="1572">
        <f t="shared" si="14"/>
        <v>1.002339519199998</v>
      </c>
      <c r="I60" s="1573">
        <f t="shared" si="15"/>
        <v>1.5435883489999946</v>
      </c>
      <c r="J60" s="1574">
        <f t="shared" si="16"/>
        <v>5.2377099999999794</v>
      </c>
      <c r="K60" s="1575">
        <f t="shared" si="17"/>
        <v>9.6093716740000179</v>
      </c>
      <c r="L60" s="1576">
        <f t="shared" si="18"/>
        <v>19.315979999999939</v>
      </c>
      <c r="M60" s="1577">
        <f t="shared" si="19"/>
        <v>30.15092417700005</v>
      </c>
      <c r="N60" s="1134">
        <f t="shared" si="20"/>
        <v>40.82676256299991</v>
      </c>
      <c r="O60" s="1132">
        <v>4.3</v>
      </c>
      <c r="P60" s="1578">
        <f t="shared" si="21"/>
        <v>109.8116545294001</v>
      </c>
      <c r="Q60" s="1545"/>
      <c r="R60" s="1545"/>
    </row>
    <row r="61" spans="1:18" ht="14" customHeight="1" x14ac:dyDescent="0.15">
      <c r="A61" s="1599"/>
      <c r="B61" s="1545"/>
      <c r="C61" s="1132">
        <v>4.2</v>
      </c>
      <c r="D61" s="1545"/>
      <c r="E61" s="1569">
        <f t="shared" si="11"/>
        <v>1.0031057477340006</v>
      </c>
      <c r="F61" s="1570">
        <f t="shared" si="12"/>
        <v>0.39983481399999932</v>
      </c>
      <c r="G61" s="1582">
        <f t="shared" si="13"/>
        <v>0.72411587639999875</v>
      </c>
      <c r="H61" s="1572">
        <f t="shared" si="14"/>
        <v>1.002673723199998</v>
      </c>
      <c r="I61" s="1573">
        <f t="shared" si="15"/>
        <v>1.5464349259999945</v>
      </c>
      <c r="J61" s="1574">
        <f t="shared" si="16"/>
        <v>5.2427399999999791</v>
      </c>
      <c r="K61" s="1583">
        <f t="shared" si="17"/>
        <v>9.6197004360000182</v>
      </c>
      <c r="L61" s="1576">
        <f t="shared" si="18"/>
        <v>19.334119999999938</v>
      </c>
      <c r="M61" s="1577">
        <f t="shared" si="19"/>
        <v>30.157675988000051</v>
      </c>
      <c r="N61" s="1134">
        <f t="shared" si="20"/>
        <v>41.024190121999908</v>
      </c>
      <c r="O61" s="1132">
        <v>4.2</v>
      </c>
      <c r="P61" s="1578">
        <f t="shared" si="21"/>
        <v>110.0545916204001</v>
      </c>
      <c r="Q61" s="1545"/>
      <c r="R61" s="1545"/>
    </row>
    <row r="62" spans="1:18" ht="14" customHeight="1" x14ac:dyDescent="0.15">
      <c r="A62" s="1599"/>
      <c r="B62" s="1545"/>
      <c r="C62" s="1132">
        <v>4.0999999999999996</v>
      </c>
      <c r="D62" s="1545"/>
      <c r="E62" s="1569">
        <f t="shared" si="11"/>
        <v>1.0034939521570005</v>
      </c>
      <c r="F62" s="1570">
        <f t="shared" si="12"/>
        <v>0.40142680199999931</v>
      </c>
      <c r="G62" s="1571">
        <f t="shared" si="13"/>
        <v>0.72421386219999873</v>
      </c>
      <c r="H62" s="1572">
        <f t="shared" si="14"/>
        <v>1.0030079271999981</v>
      </c>
      <c r="I62" s="1573">
        <f t="shared" si="15"/>
        <v>1.5492815029999945</v>
      </c>
      <c r="J62" s="1574">
        <f t="shared" si="16"/>
        <v>5.2477699999999787</v>
      </c>
      <c r="K62" s="1575">
        <f t="shared" si="17"/>
        <v>9.6300291980000186</v>
      </c>
      <c r="L62" s="1576">
        <f t="shared" si="18"/>
        <v>19.352259999999937</v>
      </c>
      <c r="M62" s="1577">
        <f t="shared" si="19"/>
        <v>30.164427799000052</v>
      </c>
      <c r="N62" s="1134">
        <f t="shared" si="20"/>
        <v>41.221617680999906</v>
      </c>
      <c r="O62" s="1132">
        <v>4.0999999999999996</v>
      </c>
      <c r="P62" s="1578">
        <f t="shared" si="21"/>
        <v>110.2975287114001</v>
      </c>
      <c r="Q62" s="1545"/>
      <c r="R62" s="1545"/>
    </row>
    <row r="63" spans="1:18" ht="16" customHeight="1" x14ac:dyDescent="0.15">
      <c r="A63" s="1599"/>
      <c r="B63" s="1545"/>
      <c r="C63" s="1129">
        <v>4</v>
      </c>
      <c r="D63" s="1557"/>
      <c r="E63" s="1558">
        <f t="shared" si="11"/>
        <v>1.0038821565800005</v>
      </c>
      <c r="F63" s="1559">
        <f t="shared" si="12"/>
        <v>0.40301878999999929</v>
      </c>
      <c r="G63" s="1595">
        <f t="shared" si="13"/>
        <v>0.7243118479999987</v>
      </c>
      <c r="H63" s="1561">
        <f t="shared" si="14"/>
        <v>1.0033421311999982</v>
      </c>
      <c r="I63" s="1562">
        <f t="shared" si="15"/>
        <v>1.5521280799999944</v>
      </c>
      <c r="J63" s="1563">
        <f t="shared" si="16"/>
        <v>5.2527999999999784</v>
      </c>
      <c r="K63" s="1596">
        <f t="shared" si="17"/>
        <v>9.6403579600000189</v>
      </c>
      <c r="L63" s="1565">
        <f t="shared" si="18"/>
        <v>19.370399999999936</v>
      </c>
      <c r="M63" s="1566">
        <f t="shared" si="19"/>
        <v>30.171179610000053</v>
      </c>
      <c r="N63" s="1131">
        <f t="shared" si="20"/>
        <v>41.419045239999903</v>
      </c>
      <c r="O63" s="1129">
        <v>4</v>
      </c>
      <c r="P63" s="1597">
        <f t="shared" si="21"/>
        <v>110.54046580240011</v>
      </c>
      <c r="Q63" s="1545"/>
      <c r="R63" s="1601"/>
    </row>
    <row r="64" spans="1:18" ht="14" customHeight="1" x14ac:dyDescent="0.15">
      <c r="A64" s="1599"/>
      <c r="B64" s="1545"/>
      <c r="C64" s="1132">
        <v>3.9</v>
      </c>
      <c r="D64" s="1545"/>
      <c r="E64" s="1569">
        <f t="shared" si="11"/>
        <v>1.0042703610030004</v>
      </c>
      <c r="F64" s="1570">
        <f t="shared" si="12"/>
        <v>0.40461077799999928</v>
      </c>
      <c r="G64" s="1571">
        <f t="shared" si="13"/>
        <v>0.72440983379999868</v>
      </c>
      <c r="H64" s="1572">
        <f t="shared" si="14"/>
        <v>1.0036763351999982</v>
      </c>
      <c r="I64" s="1573">
        <f t="shared" si="15"/>
        <v>1.5549746569999943</v>
      </c>
      <c r="J64" s="1574">
        <f t="shared" si="16"/>
        <v>5.257829999999978</v>
      </c>
      <c r="K64" s="1575">
        <f t="shared" si="17"/>
        <v>9.6506867220000192</v>
      </c>
      <c r="L64" s="1576">
        <f t="shared" si="18"/>
        <v>19.388539999999935</v>
      </c>
      <c r="M64" s="1577">
        <f t="shared" si="19"/>
        <v>30.177931421000054</v>
      </c>
      <c r="N64" s="1134">
        <f t="shared" si="20"/>
        <v>41.616472798999901</v>
      </c>
      <c r="O64" s="1132">
        <v>3.9</v>
      </c>
      <c r="P64" s="1578">
        <f t="shared" si="21"/>
        <v>110.78340289340011</v>
      </c>
      <c r="Q64" s="1545"/>
      <c r="R64" s="1545"/>
    </row>
    <row r="65" spans="1:18" ht="14" customHeight="1" x14ac:dyDescent="0.15">
      <c r="A65" s="1599"/>
      <c r="B65" s="1545"/>
      <c r="C65" s="1132">
        <v>3.8</v>
      </c>
      <c r="D65" s="1545"/>
      <c r="E65" s="1569">
        <f t="shared" si="11"/>
        <v>1.0046585654260003</v>
      </c>
      <c r="F65" s="1570">
        <f t="shared" si="12"/>
        <v>0.40620276599999927</v>
      </c>
      <c r="G65" s="1582">
        <f t="shared" si="13"/>
        <v>0.72450781959999866</v>
      </c>
      <c r="H65" s="1572">
        <f t="shared" si="14"/>
        <v>1.0040105391999983</v>
      </c>
      <c r="I65" s="1573">
        <f t="shared" si="15"/>
        <v>1.5578212339999942</v>
      </c>
      <c r="J65" s="1574">
        <f t="shared" si="16"/>
        <v>5.2628599999999777</v>
      </c>
      <c r="K65" s="1583">
        <f t="shared" si="17"/>
        <v>9.6610154840000195</v>
      </c>
      <c r="L65" s="1576">
        <f t="shared" si="18"/>
        <v>19.406679999999934</v>
      </c>
      <c r="M65" s="1577">
        <f t="shared" si="19"/>
        <v>30.184683232000054</v>
      </c>
      <c r="N65" s="1134">
        <f t="shared" si="20"/>
        <v>41.813900357999898</v>
      </c>
      <c r="O65" s="1132">
        <v>3.8</v>
      </c>
      <c r="P65" s="1578">
        <f t="shared" si="21"/>
        <v>111.02633998440011</v>
      </c>
      <c r="Q65" s="1545"/>
      <c r="R65" s="1545"/>
    </row>
    <row r="66" spans="1:18" ht="14" customHeight="1" x14ac:dyDescent="0.15">
      <c r="A66" s="1599"/>
      <c r="B66" s="1545"/>
      <c r="C66" s="1132">
        <v>3.7</v>
      </c>
      <c r="D66" s="1545"/>
      <c r="E66" s="1569">
        <f t="shared" si="11"/>
        <v>1.0050467698490002</v>
      </c>
      <c r="F66" s="1570">
        <f t="shared" si="12"/>
        <v>0.40779475399999926</v>
      </c>
      <c r="G66" s="1571">
        <f t="shared" si="13"/>
        <v>0.72460580539999864</v>
      </c>
      <c r="H66" s="1572">
        <f t="shared" si="14"/>
        <v>1.0043447431999983</v>
      </c>
      <c r="I66" s="1573">
        <f t="shared" si="15"/>
        <v>1.5606678109999941</v>
      </c>
      <c r="J66" s="1574">
        <f t="shared" si="16"/>
        <v>5.2678899999999773</v>
      </c>
      <c r="K66" s="1575">
        <f t="shared" si="17"/>
        <v>9.6713442460000199</v>
      </c>
      <c r="L66" s="1576">
        <f t="shared" si="18"/>
        <v>19.424819999999933</v>
      </c>
      <c r="M66" s="1577">
        <f t="shared" si="19"/>
        <v>30.191435043000055</v>
      </c>
      <c r="N66" s="1134">
        <f t="shared" si="20"/>
        <v>42.011327916999896</v>
      </c>
      <c r="O66" s="1132">
        <v>3.7</v>
      </c>
      <c r="P66" s="1578">
        <f t="shared" si="21"/>
        <v>111.26927707540011</v>
      </c>
      <c r="Q66" s="1545"/>
      <c r="R66" s="1545"/>
    </row>
    <row r="67" spans="1:18" ht="14" customHeight="1" x14ac:dyDescent="0.15">
      <c r="A67" s="1599"/>
      <c r="B67" s="1545"/>
      <c r="C67" s="1132">
        <v>3.6</v>
      </c>
      <c r="D67" s="1545"/>
      <c r="E67" s="1569">
        <f t="shared" si="11"/>
        <v>1.0054349742720001</v>
      </c>
      <c r="F67" s="1570">
        <f t="shared" si="12"/>
        <v>0.40938674199999925</v>
      </c>
      <c r="G67" s="1582">
        <f t="shared" si="13"/>
        <v>0.72470379119999861</v>
      </c>
      <c r="H67" s="1572">
        <f t="shared" si="14"/>
        <v>1.0046789471999984</v>
      </c>
      <c r="I67" s="1573">
        <f t="shared" si="15"/>
        <v>1.563514387999994</v>
      </c>
      <c r="J67" s="1574">
        <f t="shared" si="16"/>
        <v>5.272919999999977</v>
      </c>
      <c r="K67" s="1583">
        <f t="shared" si="17"/>
        <v>9.6816730080000202</v>
      </c>
      <c r="L67" s="1576">
        <f t="shared" si="18"/>
        <v>19.442959999999932</v>
      </c>
      <c r="M67" s="1577">
        <f t="shared" si="19"/>
        <v>30.198186854000056</v>
      </c>
      <c r="N67" s="1134">
        <f t="shared" si="20"/>
        <v>42.208755475999894</v>
      </c>
      <c r="O67" s="1132">
        <v>3.6</v>
      </c>
      <c r="P67" s="1578">
        <f t="shared" si="21"/>
        <v>111.51221416640011</v>
      </c>
      <c r="Q67" s="1545"/>
      <c r="R67" s="1545"/>
    </row>
    <row r="68" spans="1:18" ht="14" customHeight="1" x14ac:dyDescent="0.15">
      <c r="A68" s="1599"/>
      <c r="B68" s="1545"/>
      <c r="C68" s="1132">
        <v>3.5</v>
      </c>
      <c r="D68" s="1545"/>
      <c r="E68" s="1569">
        <f t="shared" ref="E68:E103" si="22">E67+0.000388204423</f>
        <v>1.005823178695</v>
      </c>
      <c r="F68" s="1570">
        <f t="shared" ref="F68:F103" si="23">F67+0.001591988</f>
        <v>0.41097872999999924</v>
      </c>
      <c r="G68" s="1571">
        <f t="shared" ref="G68:G103" si="24">G67+0.0000979858</f>
        <v>0.72480177699999859</v>
      </c>
      <c r="H68" s="1572">
        <f t="shared" ref="H68:H103" si="25">H67+0.000334204</f>
        <v>1.0050131511999985</v>
      </c>
      <c r="I68" s="1573">
        <f t="shared" ref="I68:I103" si="26">I67+0.002846577</f>
        <v>1.5663609649999939</v>
      </c>
      <c r="J68" s="1574">
        <f t="shared" ref="J68:J103" si="27">J67+0.00503</f>
        <v>5.2779499999999766</v>
      </c>
      <c r="K68" s="1575">
        <f t="shared" ref="K68:K103" si="28">K67+0.010328762</f>
        <v>9.6920017700000205</v>
      </c>
      <c r="L68" s="1576">
        <f t="shared" ref="L68:L103" si="29">L67+0.01814</f>
        <v>19.461099999999931</v>
      </c>
      <c r="M68" s="1577">
        <f t="shared" ref="M68:M103" si="30">M67+0.006751811</f>
        <v>30.204938665000057</v>
      </c>
      <c r="N68" s="1134">
        <f t="shared" ref="N68:N103" si="31">N67+0.197427559</f>
        <v>42.406183034999891</v>
      </c>
      <c r="O68" s="1132">
        <v>3.5</v>
      </c>
      <c r="P68" s="1578">
        <f t="shared" ref="P68:P103" si="32">P67+0.242937091</f>
        <v>111.75515125740012</v>
      </c>
      <c r="Q68" s="1545"/>
      <c r="R68" s="1545"/>
    </row>
    <row r="69" spans="1:18" ht="14" customHeight="1" x14ac:dyDescent="0.15">
      <c r="A69" s="1599"/>
      <c r="B69" s="1545"/>
      <c r="C69" s="1132">
        <v>3.4</v>
      </c>
      <c r="D69" s="1545"/>
      <c r="E69" s="1569">
        <f t="shared" si="22"/>
        <v>1.006211383118</v>
      </c>
      <c r="F69" s="1570">
        <f t="shared" si="23"/>
        <v>0.41257071799999923</v>
      </c>
      <c r="G69" s="1582">
        <f t="shared" si="24"/>
        <v>0.72489976279999857</v>
      </c>
      <c r="H69" s="1572">
        <f t="shared" si="25"/>
        <v>1.0053473551999985</v>
      </c>
      <c r="I69" s="1573">
        <f t="shared" si="26"/>
        <v>1.5692075419999938</v>
      </c>
      <c r="J69" s="1574">
        <f t="shared" si="27"/>
        <v>5.2829799999999763</v>
      </c>
      <c r="K69" s="1583">
        <f t="shared" si="28"/>
        <v>9.7023305320000208</v>
      </c>
      <c r="L69" s="1576">
        <f t="shared" si="29"/>
        <v>19.47923999999993</v>
      </c>
      <c r="M69" s="1577">
        <f t="shared" si="30"/>
        <v>30.211690476000058</v>
      </c>
      <c r="N69" s="1134">
        <f t="shared" si="31"/>
        <v>42.603610593999889</v>
      </c>
      <c r="O69" s="1132">
        <v>3.4</v>
      </c>
      <c r="P69" s="1578">
        <f t="shared" si="32"/>
        <v>111.99808834840012</v>
      </c>
      <c r="Q69" s="1545"/>
      <c r="R69" s="1545"/>
    </row>
    <row r="70" spans="1:18" ht="14" customHeight="1" x14ac:dyDescent="0.15">
      <c r="A70" s="1599"/>
      <c r="B70" s="1545"/>
      <c r="C70" s="1132">
        <v>3.3</v>
      </c>
      <c r="D70" s="1545"/>
      <c r="E70" s="1569">
        <f t="shared" si="22"/>
        <v>1.0065995875409999</v>
      </c>
      <c r="F70" s="1570">
        <f t="shared" si="23"/>
        <v>0.41416270599999921</v>
      </c>
      <c r="G70" s="1571">
        <f t="shared" si="24"/>
        <v>0.72499774859999855</v>
      </c>
      <c r="H70" s="1572">
        <f t="shared" si="25"/>
        <v>1.0056815591999986</v>
      </c>
      <c r="I70" s="1573">
        <f t="shared" si="26"/>
        <v>1.5720541189999937</v>
      </c>
      <c r="J70" s="1574">
        <f t="shared" si="27"/>
        <v>5.2880099999999759</v>
      </c>
      <c r="K70" s="1575">
        <f t="shared" si="28"/>
        <v>9.7126592940000211</v>
      </c>
      <c r="L70" s="1576">
        <f t="shared" si="29"/>
        <v>19.497379999999929</v>
      </c>
      <c r="M70" s="1577">
        <f t="shared" si="30"/>
        <v>30.218442287000059</v>
      </c>
      <c r="N70" s="1134">
        <f t="shared" si="31"/>
        <v>42.801038152999887</v>
      </c>
      <c r="O70" s="1132">
        <v>3.3</v>
      </c>
      <c r="P70" s="1578">
        <f t="shared" si="32"/>
        <v>112.24102543940012</v>
      </c>
      <c r="Q70" s="1545"/>
      <c r="R70" s="1545"/>
    </row>
    <row r="71" spans="1:18" ht="14" customHeight="1" x14ac:dyDescent="0.15">
      <c r="A71" s="1599"/>
      <c r="B71" s="1545"/>
      <c r="C71" s="1132">
        <v>3.2</v>
      </c>
      <c r="D71" s="1545"/>
      <c r="E71" s="1569">
        <f t="shared" si="22"/>
        <v>1.0069877919639998</v>
      </c>
      <c r="F71" s="1570">
        <f t="shared" si="23"/>
        <v>0.4157546939999992</v>
      </c>
      <c r="G71" s="1582">
        <f t="shared" si="24"/>
        <v>0.72509573439999853</v>
      </c>
      <c r="H71" s="1572">
        <f t="shared" si="25"/>
        <v>1.0060157631999986</v>
      </c>
      <c r="I71" s="1573">
        <f t="shared" si="26"/>
        <v>1.5749006959999936</v>
      </c>
      <c r="J71" s="1574">
        <f t="shared" si="27"/>
        <v>5.2930399999999755</v>
      </c>
      <c r="K71" s="1583">
        <f t="shared" si="28"/>
        <v>9.7229880560000215</v>
      </c>
      <c r="L71" s="1576">
        <f t="shared" si="29"/>
        <v>19.515519999999928</v>
      </c>
      <c r="M71" s="1577">
        <f t="shared" si="30"/>
        <v>30.22519409800006</v>
      </c>
      <c r="N71" s="1134">
        <f t="shared" si="31"/>
        <v>42.998465711999884</v>
      </c>
      <c r="O71" s="1132">
        <v>3.2</v>
      </c>
      <c r="P71" s="1578">
        <f t="shared" si="32"/>
        <v>112.48396253040012</v>
      </c>
      <c r="Q71" s="1545"/>
      <c r="R71" s="1545"/>
    </row>
    <row r="72" spans="1:18" ht="14" customHeight="1" x14ac:dyDescent="0.15">
      <c r="A72" s="1599"/>
      <c r="B72" s="1545"/>
      <c r="C72" s="1132">
        <v>3.1</v>
      </c>
      <c r="D72" s="1545"/>
      <c r="E72" s="1569">
        <f t="shared" si="22"/>
        <v>1.0073759963869997</v>
      </c>
      <c r="F72" s="1570">
        <f t="shared" si="23"/>
        <v>0.41734668199999919</v>
      </c>
      <c r="G72" s="1571">
        <f t="shared" si="24"/>
        <v>0.7251937201999985</v>
      </c>
      <c r="H72" s="1572">
        <f t="shared" si="25"/>
        <v>1.0063499671999987</v>
      </c>
      <c r="I72" s="1573">
        <f t="shared" si="26"/>
        <v>1.5777472729999935</v>
      </c>
      <c r="J72" s="1574">
        <f t="shared" si="27"/>
        <v>5.2980699999999752</v>
      </c>
      <c r="K72" s="1575">
        <f t="shared" si="28"/>
        <v>9.7333168180000218</v>
      </c>
      <c r="L72" s="1576">
        <f t="shared" si="29"/>
        <v>19.533659999999927</v>
      </c>
      <c r="M72" s="1577">
        <f t="shared" si="30"/>
        <v>30.231945909000061</v>
      </c>
      <c r="N72" s="1134">
        <f t="shared" si="31"/>
        <v>43.195893270999882</v>
      </c>
      <c r="O72" s="1132">
        <v>3.1</v>
      </c>
      <c r="P72" s="1578">
        <f t="shared" si="32"/>
        <v>112.72689962140012</v>
      </c>
      <c r="Q72" s="1545"/>
      <c r="R72" s="1545"/>
    </row>
    <row r="73" spans="1:18" ht="16" customHeight="1" x14ac:dyDescent="0.15">
      <c r="A73" s="1599"/>
      <c r="B73" s="1545"/>
      <c r="C73" s="1129">
        <v>3</v>
      </c>
      <c r="D73" s="1557"/>
      <c r="E73" s="1558">
        <f t="shared" si="22"/>
        <v>1.0077642008099996</v>
      </c>
      <c r="F73" s="1559">
        <f t="shared" si="23"/>
        <v>0.41893866999999918</v>
      </c>
      <c r="G73" s="1595">
        <f t="shared" si="24"/>
        <v>0.72529170599999848</v>
      </c>
      <c r="H73" s="1561">
        <f t="shared" si="25"/>
        <v>1.0066841711999988</v>
      </c>
      <c r="I73" s="1562">
        <f t="shared" si="26"/>
        <v>1.5805938499999934</v>
      </c>
      <c r="J73" s="1563">
        <f t="shared" si="27"/>
        <v>5.3030999999999748</v>
      </c>
      <c r="K73" s="1596">
        <f t="shared" si="28"/>
        <v>9.7436455800000221</v>
      </c>
      <c r="L73" s="1565">
        <f t="shared" si="29"/>
        <v>19.551799999999925</v>
      </c>
      <c r="M73" s="1566">
        <f t="shared" si="30"/>
        <v>30.238697720000062</v>
      </c>
      <c r="N73" s="1131">
        <f t="shared" si="31"/>
        <v>43.39332082999988</v>
      </c>
      <c r="O73" s="1129">
        <v>3</v>
      </c>
      <c r="P73" s="1597">
        <f t="shared" si="32"/>
        <v>112.96983671240012</v>
      </c>
      <c r="Q73" s="1545"/>
      <c r="R73" s="1601"/>
    </row>
    <row r="74" spans="1:18" ht="14" customHeight="1" x14ac:dyDescent="0.15">
      <c r="A74" s="1599"/>
      <c r="B74" s="1545"/>
      <c r="C74" s="1132">
        <v>2.9</v>
      </c>
      <c r="D74" s="1545"/>
      <c r="E74" s="1569">
        <f t="shared" si="22"/>
        <v>1.0081524052329995</v>
      </c>
      <c r="F74" s="1570">
        <f t="shared" si="23"/>
        <v>0.42053065799999917</v>
      </c>
      <c r="G74" s="1571">
        <f t="shared" si="24"/>
        <v>0.72538969179999846</v>
      </c>
      <c r="H74" s="1572">
        <f t="shared" si="25"/>
        <v>1.0070183751999988</v>
      </c>
      <c r="I74" s="1573">
        <f t="shared" si="26"/>
        <v>1.5834404269999933</v>
      </c>
      <c r="J74" s="1574">
        <f t="shared" si="27"/>
        <v>5.3081299999999745</v>
      </c>
      <c r="K74" s="1575">
        <f t="shared" si="28"/>
        <v>9.7539743420000224</v>
      </c>
      <c r="L74" s="1576">
        <f t="shared" si="29"/>
        <v>19.569939999999924</v>
      </c>
      <c r="M74" s="1577">
        <f t="shared" si="30"/>
        <v>30.245449531000062</v>
      </c>
      <c r="N74" s="1134">
        <f t="shared" si="31"/>
        <v>43.590748388999877</v>
      </c>
      <c r="O74" s="1132">
        <v>2.9</v>
      </c>
      <c r="P74" s="1578">
        <f t="shared" si="32"/>
        <v>113.21277380340013</v>
      </c>
      <c r="Q74" s="1545"/>
      <c r="R74" s="1545"/>
    </row>
    <row r="75" spans="1:18" ht="14" customHeight="1" x14ac:dyDescent="0.15">
      <c r="A75" s="1599"/>
      <c r="B75" s="1545"/>
      <c r="C75" s="1132">
        <v>2.8</v>
      </c>
      <c r="D75" s="1545"/>
      <c r="E75" s="1569">
        <f t="shared" si="22"/>
        <v>1.0085406096559995</v>
      </c>
      <c r="F75" s="1570">
        <f t="shared" si="23"/>
        <v>0.42212264599999916</v>
      </c>
      <c r="G75" s="1582">
        <f t="shared" si="24"/>
        <v>0.72548767759999844</v>
      </c>
      <c r="H75" s="1572">
        <f t="shared" si="25"/>
        <v>1.0073525791999989</v>
      </c>
      <c r="I75" s="1573">
        <f t="shared" si="26"/>
        <v>1.5862870039999932</v>
      </c>
      <c r="J75" s="1574">
        <f t="shared" si="27"/>
        <v>5.3131599999999741</v>
      </c>
      <c r="K75" s="1583">
        <f t="shared" si="28"/>
        <v>9.7643031040000228</v>
      </c>
      <c r="L75" s="1576">
        <f t="shared" si="29"/>
        <v>19.588079999999923</v>
      </c>
      <c r="M75" s="1577">
        <f t="shared" si="30"/>
        <v>30.252201342000063</v>
      </c>
      <c r="N75" s="1134">
        <f t="shared" si="31"/>
        <v>43.788175947999875</v>
      </c>
      <c r="O75" s="1132">
        <v>2.8</v>
      </c>
      <c r="P75" s="1578">
        <f t="shared" si="32"/>
        <v>113.45571089440013</v>
      </c>
      <c r="Q75" s="1545"/>
      <c r="R75" s="1545"/>
    </row>
    <row r="76" spans="1:18" ht="14" customHeight="1" x14ac:dyDescent="0.15">
      <c r="A76" s="1599"/>
      <c r="B76" s="1545"/>
      <c r="C76" s="1132">
        <v>2.7</v>
      </c>
      <c r="D76" s="1545"/>
      <c r="E76" s="1569">
        <f t="shared" si="22"/>
        <v>1.0089288140789994</v>
      </c>
      <c r="F76" s="1570">
        <f t="shared" si="23"/>
        <v>0.42371463399999915</v>
      </c>
      <c r="G76" s="1571">
        <f t="shared" si="24"/>
        <v>0.72558566339999842</v>
      </c>
      <c r="H76" s="1572">
        <f t="shared" si="25"/>
        <v>1.0076867831999989</v>
      </c>
      <c r="I76" s="1573">
        <f t="shared" si="26"/>
        <v>1.5891335809999931</v>
      </c>
      <c r="J76" s="1574">
        <f t="shared" si="27"/>
        <v>5.3181899999999738</v>
      </c>
      <c r="K76" s="1575">
        <f t="shared" si="28"/>
        <v>9.7746318660000231</v>
      </c>
      <c r="L76" s="1576">
        <f t="shared" si="29"/>
        <v>19.606219999999922</v>
      </c>
      <c r="M76" s="1577">
        <f t="shared" si="30"/>
        <v>30.258953153000064</v>
      </c>
      <c r="N76" s="1134">
        <f t="shared" si="31"/>
        <v>43.985603506999873</v>
      </c>
      <c r="O76" s="1132">
        <v>2.7</v>
      </c>
      <c r="P76" s="1578">
        <f t="shared" si="32"/>
        <v>113.69864798540013</v>
      </c>
      <c r="Q76" s="1545"/>
      <c r="R76" s="1545"/>
    </row>
    <row r="77" spans="1:18" ht="14" customHeight="1" x14ac:dyDescent="0.15">
      <c r="A77" s="1599"/>
      <c r="B77" s="1545"/>
      <c r="C77" s="1132">
        <v>2.6</v>
      </c>
      <c r="D77" s="1545"/>
      <c r="E77" s="1569">
        <f t="shared" si="22"/>
        <v>1.0093170185019993</v>
      </c>
      <c r="F77" s="1570">
        <f t="shared" si="23"/>
        <v>0.42530662199999913</v>
      </c>
      <c r="G77" s="1582">
        <f t="shared" si="24"/>
        <v>0.72568364919999839</v>
      </c>
      <c r="H77" s="1572">
        <f t="shared" si="25"/>
        <v>1.008020987199999</v>
      </c>
      <c r="I77" s="1573">
        <f t="shared" si="26"/>
        <v>1.591980157999993</v>
      </c>
      <c r="J77" s="1574">
        <f t="shared" si="27"/>
        <v>5.3232199999999734</v>
      </c>
      <c r="K77" s="1583">
        <f t="shared" si="28"/>
        <v>9.7849606280000234</v>
      </c>
      <c r="L77" s="1576">
        <f t="shared" si="29"/>
        <v>19.624359999999921</v>
      </c>
      <c r="M77" s="1577">
        <f t="shared" si="30"/>
        <v>30.265704964000065</v>
      </c>
      <c r="N77" s="1134">
        <f t="shared" si="31"/>
        <v>44.18303106599987</v>
      </c>
      <c r="O77" s="1132">
        <v>2.6</v>
      </c>
      <c r="P77" s="1578">
        <f t="shared" si="32"/>
        <v>113.94158507640013</v>
      </c>
      <c r="Q77" s="1545"/>
      <c r="R77" s="1545"/>
    </row>
    <row r="78" spans="1:18" ht="14" customHeight="1" x14ac:dyDescent="0.15">
      <c r="A78" s="1599"/>
      <c r="B78" s="1545"/>
      <c r="C78" s="1132">
        <v>2.5</v>
      </c>
      <c r="D78" s="1545"/>
      <c r="E78" s="1569">
        <f t="shared" si="22"/>
        <v>1.0097052229249992</v>
      </c>
      <c r="F78" s="1570">
        <f t="shared" si="23"/>
        <v>0.42689860999999912</v>
      </c>
      <c r="G78" s="1571">
        <f t="shared" si="24"/>
        <v>0.72578163499999837</v>
      </c>
      <c r="H78" s="1572">
        <f t="shared" si="25"/>
        <v>1.0083551911999991</v>
      </c>
      <c r="I78" s="1573">
        <f t="shared" si="26"/>
        <v>1.5948267349999929</v>
      </c>
      <c r="J78" s="1574">
        <f t="shared" si="27"/>
        <v>5.3282499999999731</v>
      </c>
      <c r="K78" s="1575">
        <f t="shared" si="28"/>
        <v>9.7952893900000237</v>
      </c>
      <c r="L78" s="1576">
        <f t="shared" si="29"/>
        <v>19.64249999999992</v>
      </c>
      <c r="M78" s="1577">
        <f t="shared" si="30"/>
        <v>30.272456775000066</v>
      </c>
      <c r="N78" s="1134">
        <f t="shared" si="31"/>
        <v>44.380458624999868</v>
      </c>
      <c r="O78" s="1132">
        <v>2.5</v>
      </c>
      <c r="P78" s="1578">
        <f t="shared" si="32"/>
        <v>114.18452216740013</v>
      </c>
      <c r="Q78" s="1545"/>
      <c r="R78" s="1545"/>
    </row>
    <row r="79" spans="1:18" ht="14" customHeight="1" x14ac:dyDescent="0.15">
      <c r="A79" s="1599"/>
      <c r="B79" s="1545"/>
      <c r="C79" s="1132">
        <v>2.4</v>
      </c>
      <c r="D79" s="1545"/>
      <c r="E79" s="1569">
        <f t="shared" si="22"/>
        <v>1.0100934273479991</v>
      </c>
      <c r="F79" s="1570">
        <f t="shared" si="23"/>
        <v>0.42849059799999911</v>
      </c>
      <c r="G79" s="1582">
        <f t="shared" si="24"/>
        <v>0.72587962079999835</v>
      </c>
      <c r="H79" s="1572">
        <f t="shared" si="25"/>
        <v>1.0086893951999991</v>
      </c>
      <c r="I79" s="1573">
        <f t="shared" si="26"/>
        <v>1.5976733119999929</v>
      </c>
      <c r="J79" s="1574">
        <f t="shared" si="27"/>
        <v>5.3332799999999727</v>
      </c>
      <c r="K79" s="1583">
        <f t="shared" si="28"/>
        <v>9.8056181520000241</v>
      </c>
      <c r="L79" s="1576">
        <f t="shared" si="29"/>
        <v>19.660639999999919</v>
      </c>
      <c r="M79" s="1577">
        <f t="shared" si="30"/>
        <v>30.279208586000067</v>
      </c>
      <c r="N79" s="1134">
        <f t="shared" si="31"/>
        <v>44.577886183999865</v>
      </c>
      <c r="O79" s="1132">
        <v>2.4</v>
      </c>
      <c r="P79" s="1578">
        <f t="shared" si="32"/>
        <v>114.42745925840013</v>
      </c>
      <c r="Q79" s="1545"/>
      <c r="R79" s="1545"/>
    </row>
    <row r="80" spans="1:18" ht="14" customHeight="1" x14ac:dyDescent="0.15">
      <c r="A80" s="1599"/>
      <c r="B80" s="1545"/>
      <c r="C80" s="1132">
        <v>2.2999999999999998</v>
      </c>
      <c r="D80" s="1545"/>
      <c r="E80" s="1569">
        <f t="shared" si="22"/>
        <v>1.010481631770999</v>
      </c>
      <c r="F80" s="1570">
        <f t="shared" si="23"/>
        <v>0.4300825859999991</v>
      </c>
      <c r="G80" s="1571">
        <f t="shared" si="24"/>
        <v>0.72597760659999833</v>
      </c>
      <c r="H80" s="1572">
        <f t="shared" si="25"/>
        <v>1.0090235991999992</v>
      </c>
      <c r="I80" s="1573">
        <f t="shared" si="26"/>
        <v>1.6005198889999928</v>
      </c>
      <c r="J80" s="1574">
        <f t="shared" si="27"/>
        <v>5.3383099999999724</v>
      </c>
      <c r="K80" s="1575">
        <f t="shared" si="28"/>
        <v>9.8159469140000244</v>
      </c>
      <c r="L80" s="1576">
        <f t="shared" si="29"/>
        <v>19.678779999999918</v>
      </c>
      <c r="M80" s="1577">
        <f t="shared" si="30"/>
        <v>30.285960397000068</v>
      </c>
      <c r="N80" s="1134">
        <f t="shared" si="31"/>
        <v>44.775313742999863</v>
      </c>
      <c r="O80" s="1132">
        <v>2.2999999999999998</v>
      </c>
      <c r="P80" s="1578">
        <f t="shared" si="32"/>
        <v>114.67039634940014</v>
      </c>
      <c r="Q80" s="1545"/>
      <c r="R80" s="1545"/>
    </row>
    <row r="81" spans="1:18" ht="14" customHeight="1" x14ac:dyDescent="0.15">
      <c r="A81" s="1599"/>
      <c r="B81" s="1545"/>
      <c r="C81" s="1132">
        <v>2.2000000000000002</v>
      </c>
      <c r="D81" s="1545"/>
      <c r="E81" s="1569">
        <f t="shared" si="22"/>
        <v>1.0108698361939989</v>
      </c>
      <c r="F81" s="1570">
        <f t="shared" si="23"/>
        <v>0.43167457399999909</v>
      </c>
      <c r="G81" s="1582">
        <f t="shared" si="24"/>
        <v>0.7260755923999983</v>
      </c>
      <c r="H81" s="1572">
        <f t="shared" si="25"/>
        <v>1.0093578031999992</v>
      </c>
      <c r="I81" s="1573">
        <f t="shared" si="26"/>
        <v>1.6033664659999927</v>
      </c>
      <c r="J81" s="1574">
        <f t="shared" si="27"/>
        <v>5.343339999999972</v>
      </c>
      <c r="K81" s="1583">
        <f t="shared" si="28"/>
        <v>9.8262756760000247</v>
      </c>
      <c r="L81" s="1576">
        <f t="shared" si="29"/>
        <v>19.696919999999917</v>
      </c>
      <c r="M81" s="1577">
        <f t="shared" si="30"/>
        <v>30.292712208000069</v>
      </c>
      <c r="N81" s="1134">
        <f t="shared" si="31"/>
        <v>44.972741301999861</v>
      </c>
      <c r="O81" s="1132">
        <v>2.2000000000000002</v>
      </c>
      <c r="P81" s="1578">
        <f t="shared" si="32"/>
        <v>114.91333344040014</v>
      </c>
      <c r="Q81" s="1545"/>
      <c r="R81" s="1545"/>
    </row>
    <row r="82" spans="1:18" ht="14" customHeight="1" x14ac:dyDescent="0.15">
      <c r="A82" s="1599"/>
      <c r="B82" s="1545"/>
      <c r="C82" s="1132">
        <v>2.1</v>
      </c>
      <c r="D82" s="1545"/>
      <c r="E82" s="1569">
        <f t="shared" si="22"/>
        <v>1.0112580406169989</v>
      </c>
      <c r="F82" s="1570">
        <f t="shared" si="23"/>
        <v>0.43326656199999908</v>
      </c>
      <c r="G82" s="1571">
        <f t="shared" si="24"/>
        <v>0.72617357819999828</v>
      </c>
      <c r="H82" s="1572">
        <f t="shared" si="25"/>
        <v>1.0096920071999993</v>
      </c>
      <c r="I82" s="1573">
        <f t="shared" si="26"/>
        <v>1.6062130429999926</v>
      </c>
      <c r="J82" s="1574">
        <f t="shared" si="27"/>
        <v>5.3483699999999716</v>
      </c>
      <c r="K82" s="1575">
        <f t="shared" si="28"/>
        <v>9.836604438000025</v>
      </c>
      <c r="L82" s="1576">
        <f t="shared" si="29"/>
        <v>19.715059999999916</v>
      </c>
      <c r="M82" s="1577">
        <f t="shared" si="30"/>
        <v>30.299464019000069</v>
      </c>
      <c r="N82" s="1134">
        <f t="shared" si="31"/>
        <v>45.170168860999858</v>
      </c>
      <c r="O82" s="1132">
        <v>2.1</v>
      </c>
      <c r="P82" s="1578">
        <f t="shared" si="32"/>
        <v>115.15627053140014</v>
      </c>
      <c r="Q82" s="1545"/>
      <c r="R82" s="1545"/>
    </row>
    <row r="83" spans="1:18" ht="16" customHeight="1" x14ac:dyDescent="0.15">
      <c r="A83" s="1599"/>
      <c r="B83" s="1545"/>
      <c r="C83" s="1129">
        <v>2</v>
      </c>
      <c r="D83" s="1557"/>
      <c r="E83" s="1558">
        <f t="shared" si="22"/>
        <v>1.0116462450399988</v>
      </c>
      <c r="F83" s="1559">
        <f t="shared" si="23"/>
        <v>0.43485854999999907</v>
      </c>
      <c r="G83" s="1595">
        <f t="shared" si="24"/>
        <v>0.72627156399999826</v>
      </c>
      <c r="H83" s="1561">
        <f t="shared" si="25"/>
        <v>1.0100262111999994</v>
      </c>
      <c r="I83" s="1562">
        <f t="shared" si="26"/>
        <v>1.6090596199999925</v>
      </c>
      <c r="J83" s="1563">
        <f t="shared" si="27"/>
        <v>5.3533999999999713</v>
      </c>
      <c r="K83" s="1596">
        <f t="shared" si="28"/>
        <v>9.8469332000000254</v>
      </c>
      <c r="L83" s="1565">
        <f t="shared" si="29"/>
        <v>19.733199999999915</v>
      </c>
      <c r="M83" s="1566">
        <f t="shared" si="30"/>
        <v>30.30621583000007</v>
      </c>
      <c r="N83" s="1131">
        <f t="shared" si="31"/>
        <v>45.367596419999856</v>
      </c>
      <c r="O83" s="1129">
        <v>2</v>
      </c>
      <c r="P83" s="1597">
        <f t="shared" si="32"/>
        <v>115.39920762240014</v>
      </c>
      <c r="Q83" s="1545"/>
      <c r="R83" s="1601"/>
    </row>
    <row r="84" spans="1:18" ht="14" customHeight="1" x14ac:dyDescent="0.15">
      <c r="A84" s="1599"/>
      <c r="B84" s="1545"/>
      <c r="C84" s="1132">
        <v>1.9</v>
      </c>
      <c r="D84" s="1545"/>
      <c r="E84" s="1569">
        <f t="shared" si="22"/>
        <v>1.0120344494629987</v>
      </c>
      <c r="F84" s="1570">
        <f t="shared" si="23"/>
        <v>0.43645053799999906</v>
      </c>
      <c r="G84" s="1571">
        <f t="shared" si="24"/>
        <v>0.72636954979999824</v>
      </c>
      <c r="H84" s="1572">
        <f t="shared" si="25"/>
        <v>1.0103604151999994</v>
      </c>
      <c r="I84" s="1573">
        <f t="shared" si="26"/>
        <v>1.6119061969999924</v>
      </c>
      <c r="J84" s="1574">
        <f t="shared" si="27"/>
        <v>5.3584299999999709</v>
      </c>
      <c r="K84" s="1575">
        <f t="shared" si="28"/>
        <v>9.8572619620000257</v>
      </c>
      <c r="L84" s="1576">
        <f t="shared" si="29"/>
        <v>19.751339999999914</v>
      </c>
      <c r="M84" s="1577">
        <f t="shared" si="30"/>
        <v>30.312967641000071</v>
      </c>
      <c r="N84" s="1134">
        <f t="shared" si="31"/>
        <v>45.565023978999854</v>
      </c>
      <c r="O84" s="1132">
        <v>1.9</v>
      </c>
      <c r="P84" s="1578">
        <f t="shared" si="32"/>
        <v>115.64214471340014</v>
      </c>
      <c r="Q84" s="1545"/>
      <c r="R84" s="1545"/>
    </row>
    <row r="85" spans="1:18" ht="14" customHeight="1" x14ac:dyDescent="0.15">
      <c r="A85" s="1599"/>
      <c r="B85" s="1545"/>
      <c r="C85" s="1132">
        <v>1.8</v>
      </c>
      <c r="D85" s="1545"/>
      <c r="E85" s="1569">
        <f t="shared" si="22"/>
        <v>1.0124226538859986</v>
      </c>
      <c r="F85" s="1570">
        <f t="shared" si="23"/>
        <v>0.43804252599999904</v>
      </c>
      <c r="G85" s="1582">
        <f t="shared" si="24"/>
        <v>0.72646753559999822</v>
      </c>
      <c r="H85" s="1572">
        <f t="shared" si="25"/>
        <v>1.0106946191999995</v>
      </c>
      <c r="I85" s="1573">
        <f t="shared" si="26"/>
        <v>1.6147527739999923</v>
      </c>
      <c r="J85" s="1574">
        <f t="shared" si="27"/>
        <v>5.3634599999999706</v>
      </c>
      <c r="K85" s="1583">
        <f t="shared" si="28"/>
        <v>9.867590724000026</v>
      </c>
      <c r="L85" s="1576">
        <f t="shared" si="29"/>
        <v>19.769479999999913</v>
      </c>
      <c r="M85" s="1577">
        <f t="shared" si="30"/>
        <v>30.319719452000072</v>
      </c>
      <c r="N85" s="1134">
        <f t="shared" si="31"/>
        <v>45.762451537999851</v>
      </c>
      <c r="O85" s="1132">
        <v>1.8</v>
      </c>
      <c r="P85" s="1578">
        <f t="shared" si="32"/>
        <v>115.88508180440014</v>
      </c>
      <c r="Q85" s="1545"/>
      <c r="R85" s="1545"/>
    </row>
    <row r="86" spans="1:18" ht="14" customHeight="1" x14ac:dyDescent="0.15">
      <c r="A86" s="1599"/>
      <c r="B86" s="1545"/>
      <c r="C86" s="1132">
        <v>1.7</v>
      </c>
      <c r="D86" s="1545"/>
      <c r="E86" s="1569">
        <f t="shared" si="22"/>
        <v>1.0128108583089985</v>
      </c>
      <c r="F86" s="1570">
        <f t="shared" si="23"/>
        <v>0.43963451399999903</v>
      </c>
      <c r="G86" s="1571">
        <f t="shared" si="24"/>
        <v>0.72656552139999819</v>
      </c>
      <c r="H86" s="1572">
        <f t="shared" si="25"/>
        <v>1.0110288231999995</v>
      </c>
      <c r="I86" s="1573">
        <f t="shared" si="26"/>
        <v>1.6175993509999922</v>
      </c>
      <c r="J86" s="1574">
        <f t="shared" si="27"/>
        <v>5.3684899999999702</v>
      </c>
      <c r="K86" s="1575">
        <f t="shared" si="28"/>
        <v>9.8779194860000263</v>
      </c>
      <c r="L86" s="1576">
        <f t="shared" si="29"/>
        <v>19.787619999999912</v>
      </c>
      <c r="M86" s="1577">
        <f t="shared" si="30"/>
        <v>30.326471263000073</v>
      </c>
      <c r="N86" s="1134">
        <f t="shared" si="31"/>
        <v>45.959879096999849</v>
      </c>
      <c r="O86" s="1132">
        <v>1.7</v>
      </c>
      <c r="P86" s="1578">
        <f t="shared" si="32"/>
        <v>116.12801889540015</v>
      </c>
      <c r="Q86" s="1545"/>
      <c r="R86" s="1545"/>
    </row>
    <row r="87" spans="1:18" ht="14" customHeight="1" x14ac:dyDescent="0.15">
      <c r="A87" s="1599"/>
      <c r="B87" s="1545"/>
      <c r="C87" s="1132">
        <v>1.6</v>
      </c>
      <c r="D87" s="1545"/>
      <c r="E87" s="1569">
        <f t="shared" si="22"/>
        <v>1.0131990627319984</v>
      </c>
      <c r="F87" s="1570">
        <f t="shared" si="23"/>
        <v>0.44122650199999902</v>
      </c>
      <c r="G87" s="1582">
        <f t="shared" si="24"/>
        <v>0.72666350719999817</v>
      </c>
      <c r="H87" s="1572">
        <f t="shared" si="25"/>
        <v>1.0113630271999996</v>
      </c>
      <c r="I87" s="1573">
        <f t="shared" si="26"/>
        <v>1.6204459279999921</v>
      </c>
      <c r="J87" s="1574">
        <f t="shared" si="27"/>
        <v>5.3735199999999699</v>
      </c>
      <c r="K87" s="1583">
        <f t="shared" si="28"/>
        <v>9.8882482480000267</v>
      </c>
      <c r="L87" s="1576">
        <f t="shared" si="29"/>
        <v>19.805759999999911</v>
      </c>
      <c r="M87" s="1577">
        <f t="shared" si="30"/>
        <v>30.333223074000074</v>
      </c>
      <c r="N87" s="1134">
        <f t="shared" si="31"/>
        <v>46.157306655999847</v>
      </c>
      <c r="O87" s="1132">
        <v>1.6</v>
      </c>
      <c r="P87" s="1578">
        <f t="shared" si="32"/>
        <v>116.37095598640015</v>
      </c>
      <c r="Q87" s="1545"/>
      <c r="R87" s="1545"/>
    </row>
    <row r="88" spans="1:18" ht="14" customHeight="1" x14ac:dyDescent="0.15">
      <c r="A88" s="1599"/>
      <c r="B88" s="1545"/>
      <c r="C88" s="1132">
        <v>1.5</v>
      </c>
      <c r="D88" s="1545"/>
      <c r="E88" s="1569">
        <f t="shared" si="22"/>
        <v>1.0135872671549984</v>
      </c>
      <c r="F88" s="1570">
        <f t="shared" si="23"/>
        <v>0.44281848999999901</v>
      </c>
      <c r="G88" s="1571">
        <f t="shared" si="24"/>
        <v>0.72676149299999815</v>
      </c>
      <c r="H88" s="1572">
        <f t="shared" si="25"/>
        <v>1.0116972311999997</v>
      </c>
      <c r="I88" s="1573">
        <f t="shared" si="26"/>
        <v>1.623292504999992</v>
      </c>
      <c r="J88" s="1574">
        <f t="shared" si="27"/>
        <v>5.3785499999999695</v>
      </c>
      <c r="K88" s="1575">
        <f t="shared" si="28"/>
        <v>9.898577010000027</v>
      </c>
      <c r="L88" s="1576">
        <f t="shared" si="29"/>
        <v>19.823899999999909</v>
      </c>
      <c r="M88" s="1577">
        <f t="shared" si="30"/>
        <v>30.339974885000075</v>
      </c>
      <c r="N88" s="1134">
        <f t="shared" si="31"/>
        <v>46.354734214999844</v>
      </c>
      <c r="O88" s="1132">
        <v>1.5</v>
      </c>
      <c r="P88" s="1578">
        <f t="shared" si="32"/>
        <v>116.61389307740015</v>
      </c>
      <c r="Q88" s="1545"/>
      <c r="R88" s="1545"/>
    </row>
    <row r="89" spans="1:18" ht="14" customHeight="1" x14ac:dyDescent="0.15">
      <c r="A89" s="1599"/>
      <c r="B89" s="1545"/>
      <c r="C89" s="1132">
        <v>1.4</v>
      </c>
      <c r="D89" s="1545"/>
      <c r="E89" s="1569">
        <f t="shared" si="22"/>
        <v>1.0139754715779983</v>
      </c>
      <c r="F89" s="1570">
        <f t="shared" si="23"/>
        <v>0.444410477999999</v>
      </c>
      <c r="G89" s="1582">
        <f t="shared" si="24"/>
        <v>0.72685947879999813</v>
      </c>
      <c r="H89" s="1572">
        <f t="shared" si="25"/>
        <v>1.0120314351999997</v>
      </c>
      <c r="I89" s="1573">
        <f t="shared" si="26"/>
        <v>1.6261390819999919</v>
      </c>
      <c r="J89" s="1574">
        <f t="shared" si="27"/>
        <v>5.3835799999999692</v>
      </c>
      <c r="K89" s="1583">
        <f t="shared" si="28"/>
        <v>9.9089057720000273</v>
      </c>
      <c r="L89" s="1576">
        <f t="shared" si="29"/>
        <v>19.842039999999908</v>
      </c>
      <c r="M89" s="1577">
        <f t="shared" si="30"/>
        <v>30.346726696000076</v>
      </c>
      <c r="N89" s="1134">
        <f t="shared" si="31"/>
        <v>46.552161773999842</v>
      </c>
      <c r="O89" s="1132">
        <v>1.4</v>
      </c>
      <c r="P89" s="1578">
        <f t="shared" si="32"/>
        <v>116.85683016840015</v>
      </c>
      <c r="Q89" s="1545"/>
      <c r="R89" s="1545"/>
    </row>
    <row r="90" spans="1:18" ht="14" customHeight="1" x14ac:dyDescent="0.15">
      <c r="A90" s="1599"/>
      <c r="B90" s="1545"/>
      <c r="C90" s="1132">
        <v>1.3</v>
      </c>
      <c r="D90" s="1545"/>
      <c r="E90" s="1569">
        <f t="shared" si="22"/>
        <v>1.0143636760009982</v>
      </c>
      <c r="F90" s="1570">
        <f t="shared" si="23"/>
        <v>0.44600246599999899</v>
      </c>
      <c r="G90" s="1571">
        <f t="shared" si="24"/>
        <v>0.7269574645999981</v>
      </c>
      <c r="H90" s="1572">
        <f t="shared" si="25"/>
        <v>1.0123656391999998</v>
      </c>
      <c r="I90" s="1573">
        <f t="shared" si="26"/>
        <v>1.6289856589999918</v>
      </c>
      <c r="J90" s="1574">
        <f t="shared" si="27"/>
        <v>5.3886099999999688</v>
      </c>
      <c r="K90" s="1575">
        <f t="shared" si="28"/>
        <v>9.9192345340000276</v>
      </c>
      <c r="L90" s="1576">
        <f t="shared" si="29"/>
        <v>19.860179999999907</v>
      </c>
      <c r="M90" s="1577">
        <f t="shared" si="30"/>
        <v>30.353478507000077</v>
      </c>
      <c r="N90" s="1134">
        <f t="shared" si="31"/>
        <v>46.74958933299984</v>
      </c>
      <c r="O90" s="1132">
        <v>1.3</v>
      </c>
      <c r="P90" s="1578">
        <f t="shared" si="32"/>
        <v>117.09976725940015</v>
      </c>
      <c r="Q90" s="1545"/>
      <c r="R90" s="1545"/>
    </row>
    <row r="91" spans="1:18" ht="14" customHeight="1" x14ac:dyDescent="0.15">
      <c r="A91" s="1599"/>
      <c r="B91" s="1545"/>
      <c r="C91" s="1132">
        <v>1.2</v>
      </c>
      <c r="D91" s="1545"/>
      <c r="E91" s="1569">
        <f t="shared" si="22"/>
        <v>1.0147518804239981</v>
      </c>
      <c r="F91" s="1570">
        <f t="shared" si="23"/>
        <v>0.44759445399999898</v>
      </c>
      <c r="G91" s="1582">
        <f t="shared" si="24"/>
        <v>0.72705545039999808</v>
      </c>
      <c r="H91" s="1572">
        <f t="shared" si="25"/>
        <v>1.0126998431999998</v>
      </c>
      <c r="I91" s="1573">
        <f t="shared" si="26"/>
        <v>1.6318322359999917</v>
      </c>
      <c r="J91" s="1574">
        <f t="shared" si="27"/>
        <v>5.3936399999999685</v>
      </c>
      <c r="K91" s="1583">
        <f t="shared" si="28"/>
        <v>9.929563296000028</v>
      </c>
      <c r="L91" s="1576">
        <f t="shared" si="29"/>
        <v>19.878319999999906</v>
      </c>
      <c r="M91" s="1577">
        <f t="shared" si="30"/>
        <v>30.360230318000077</v>
      </c>
      <c r="N91" s="1134">
        <f t="shared" si="31"/>
        <v>46.947016891999837</v>
      </c>
      <c r="O91" s="1132">
        <v>1.2</v>
      </c>
      <c r="P91" s="1578">
        <f t="shared" si="32"/>
        <v>117.34270435040015</v>
      </c>
      <c r="Q91" s="1545"/>
      <c r="R91" s="1545"/>
    </row>
    <row r="92" spans="1:18" ht="14" customHeight="1" x14ac:dyDescent="0.15">
      <c r="A92" s="1599"/>
      <c r="B92" s="1545"/>
      <c r="C92" s="1132">
        <v>1.1000000000000001</v>
      </c>
      <c r="D92" s="1545"/>
      <c r="E92" s="1569">
        <f t="shared" si="22"/>
        <v>1.015140084846998</v>
      </c>
      <c r="F92" s="1570">
        <f t="shared" si="23"/>
        <v>0.44918644199999896</v>
      </c>
      <c r="G92" s="1571">
        <f t="shared" si="24"/>
        <v>0.72715343619999806</v>
      </c>
      <c r="H92" s="1572">
        <f t="shared" si="25"/>
        <v>1.0130340471999999</v>
      </c>
      <c r="I92" s="1573">
        <f t="shared" si="26"/>
        <v>1.6346788129999916</v>
      </c>
      <c r="J92" s="1574">
        <f t="shared" si="27"/>
        <v>5.3986699999999681</v>
      </c>
      <c r="K92" s="1575">
        <f t="shared" si="28"/>
        <v>9.9398920580000283</v>
      </c>
      <c r="L92" s="1576">
        <f t="shared" si="29"/>
        <v>19.896459999999905</v>
      </c>
      <c r="M92" s="1577">
        <f t="shared" si="30"/>
        <v>30.366982129000078</v>
      </c>
      <c r="N92" s="1134">
        <f t="shared" si="31"/>
        <v>47.144444450999835</v>
      </c>
      <c r="O92" s="1132">
        <v>1.1000000000000001</v>
      </c>
      <c r="P92" s="1578">
        <f t="shared" si="32"/>
        <v>117.58564144140016</v>
      </c>
      <c r="Q92" s="1545"/>
      <c r="R92" s="1545"/>
    </row>
    <row r="93" spans="1:18" ht="16" customHeight="1" x14ac:dyDescent="0.15">
      <c r="A93" s="1599"/>
      <c r="B93" s="1545"/>
      <c r="C93" s="1129">
        <v>1</v>
      </c>
      <c r="D93" s="1557"/>
      <c r="E93" s="1558">
        <f t="shared" si="22"/>
        <v>1.0155282892699979</v>
      </c>
      <c r="F93" s="1559">
        <f t="shared" si="23"/>
        <v>0.45077842999999895</v>
      </c>
      <c r="G93" s="1595">
        <f t="shared" si="24"/>
        <v>0.72725142199999804</v>
      </c>
      <c r="H93" s="1561">
        <f t="shared" si="25"/>
        <v>1.0133682512</v>
      </c>
      <c r="I93" s="1562">
        <f t="shared" si="26"/>
        <v>1.6375253899999915</v>
      </c>
      <c r="J93" s="1563">
        <f t="shared" si="27"/>
        <v>5.4036999999999678</v>
      </c>
      <c r="K93" s="1596">
        <f t="shared" si="28"/>
        <v>9.9502208200000286</v>
      </c>
      <c r="L93" s="1565">
        <f t="shared" si="29"/>
        <v>19.914599999999904</v>
      </c>
      <c r="M93" s="1566">
        <f t="shared" si="30"/>
        <v>30.373733940000079</v>
      </c>
      <c r="N93" s="1131">
        <f t="shared" si="31"/>
        <v>47.341872009999832</v>
      </c>
      <c r="O93" s="1129">
        <v>1</v>
      </c>
      <c r="P93" s="1597">
        <f t="shared" si="32"/>
        <v>117.82857853240016</v>
      </c>
      <c r="Q93" s="1545"/>
      <c r="R93" s="1601"/>
    </row>
    <row r="94" spans="1:18" ht="14" customHeight="1" x14ac:dyDescent="0.15">
      <c r="A94" s="1599"/>
      <c r="B94" s="1545"/>
      <c r="C94" s="1132">
        <v>0.9</v>
      </c>
      <c r="D94" s="1545"/>
      <c r="E94" s="1569">
        <f t="shared" si="22"/>
        <v>1.0159164936929979</v>
      </c>
      <c r="F94" s="1570">
        <f t="shared" si="23"/>
        <v>0.45237041799999894</v>
      </c>
      <c r="G94" s="1571">
        <f t="shared" si="24"/>
        <v>0.72734940779999802</v>
      </c>
      <c r="H94" s="1572">
        <f t="shared" si="25"/>
        <v>1.0137024552</v>
      </c>
      <c r="I94" s="1573">
        <f t="shared" si="26"/>
        <v>1.6403719669999914</v>
      </c>
      <c r="J94" s="1574">
        <f t="shared" si="27"/>
        <v>5.4087299999999674</v>
      </c>
      <c r="K94" s="1575">
        <f t="shared" si="28"/>
        <v>9.9605495820000289</v>
      </c>
      <c r="L94" s="1576">
        <f t="shared" si="29"/>
        <v>19.932739999999903</v>
      </c>
      <c r="M94" s="1577">
        <f t="shared" si="30"/>
        <v>30.38048575100008</v>
      </c>
      <c r="N94" s="1134">
        <f t="shared" si="31"/>
        <v>47.53929956899983</v>
      </c>
      <c r="O94" s="1132">
        <v>0.9</v>
      </c>
      <c r="P94" s="1578">
        <f t="shared" si="32"/>
        <v>118.07151562340016</v>
      </c>
      <c r="Q94" s="1545"/>
      <c r="R94" s="1545"/>
    </row>
    <row r="95" spans="1:18" ht="14" customHeight="1" x14ac:dyDescent="0.15">
      <c r="A95" s="1599"/>
      <c r="B95" s="1545"/>
      <c r="C95" s="1132">
        <v>0.8</v>
      </c>
      <c r="D95" s="1545"/>
      <c r="E95" s="1569">
        <f t="shared" si="22"/>
        <v>1.0163046981159978</v>
      </c>
      <c r="F95" s="1570">
        <f t="shared" si="23"/>
        <v>0.45396240599999893</v>
      </c>
      <c r="G95" s="1582">
        <f t="shared" si="24"/>
        <v>0.72744739359999799</v>
      </c>
      <c r="H95" s="1572">
        <f t="shared" si="25"/>
        <v>1.0140366592000001</v>
      </c>
      <c r="I95" s="1573">
        <f t="shared" si="26"/>
        <v>1.6432185439999913</v>
      </c>
      <c r="J95" s="1574">
        <f t="shared" si="27"/>
        <v>5.413759999999967</v>
      </c>
      <c r="K95" s="1583">
        <f t="shared" si="28"/>
        <v>9.9708783440000293</v>
      </c>
      <c r="L95" s="1576">
        <f t="shared" si="29"/>
        <v>19.950879999999902</v>
      </c>
      <c r="M95" s="1577">
        <f t="shared" si="30"/>
        <v>30.387237562000081</v>
      </c>
      <c r="N95" s="1134">
        <f t="shared" si="31"/>
        <v>47.736727127999828</v>
      </c>
      <c r="O95" s="1132">
        <v>0.8</v>
      </c>
      <c r="P95" s="1578">
        <f t="shared" si="32"/>
        <v>118.31445271440016</v>
      </c>
      <c r="Q95" s="1545"/>
      <c r="R95" s="1545"/>
    </row>
    <row r="96" spans="1:18" ht="14" customHeight="1" x14ac:dyDescent="0.15">
      <c r="A96" s="1599"/>
      <c r="B96" s="1545"/>
      <c r="C96" s="1132">
        <v>0.7</v>
      </c>
      <c r="D96" s="1545"/>
      <c r="E96" s="1569">
        <f t="shared" si="22"/>
        <v>1.0166929025389977</v>
      </c>
      <c r="F96" s="1570">
        <f t="shared" si="23"/>
        <v>0.45555439399999892</v>
      </c>
      <c r="G96" s="1571">
        <f t="shared" si="24"/>
        <v>0.72754537939999797</v>
      </c>
      <c r="H96" s="1572">
        <f t="shared" si="25"/>
        <v>1.0143708632000001</v>
      </c>
      <c r="I96" s="1573">
        <f t="shared" si="26"/>
        <v>1.6460651209999912</v>
      </c>
      <c r="J96" s="1574">
        <f t="shared" si="27"/>
        <v>5.4187899999999667</v>
      </c>
      <c r="K96" s="1575">
        <f t="shared" si="28"/>
        <v>9.9812071060000296</v>
      </c>
      <c r="L96" s="1576">
        <f t="shared" si="29"/>
        <v>19.969019999999901</v>
      </c>
      <c r="M96" s="1577">
        <f t="shared" si="30"/>
        <v>30.393989373000082</v>
      </c>
      <c r="N96" s="1134">
        <f t="shared" si="31"/>
        <v>47.934154686999825</v>
      </c>
      <c r="O96" s="1132">
        <v>0.7</v>
      </c>
      <c r="P96" s="1578">
        <f t="shared" si="32"/>
        <v>118.55738980540016</v>
      </c>
      <c r="Q96" s="1545"/>
      <c r="R96" s="1545"/>
    </row>
    <row r="97" spans="1:18" ht="14" customHeight="1" x14ac:dyDescent="0.15">
      <c r="A97" s="1599"/>
      <c r="B97" s="1545"/>
      <c r="C97" s="1132">
        <v>0.6</v>
      </c>
      <c r="D97" s="1545"/>
      <c r="E97" s="1569">
        <f t="shared" si="22"/>
        <v>1.0170811069619976</v>
      </c>
      <c r="F97" s="1570">
        <f t="shared" si="23"/>
        <v>0.45714638199999891</v>
      </c>
      <c r="G97" s="1582">
        <f t="shared" si="24"/>
        <v>0.72764336519999795</v>
      </c>
      <c r="H97" s="1572">
        <f t="shared" si="25"/>
        <v>1.0147050672000002</v>
      </c>
      <c r="I97" s="1573">
        <f t="shared" si="26"/>
        <v>1.6489116979999912</v>
      </c>
      <c r="J97" s="1574">
        <f t="shared" si="27"/>
        <v>5.4238199999999663</v>
      </c>
      <c r="K97" s="1583">
        <f t="shared" si="28"/>
        <v>9.9915358680000299</v>
      </c>
      <c r="L97" s="1576">
        <f t="shared" si="29"/>
        <v>19.9871599999999</v>
      </c>
      <c r="M97" s="1577">
        <f t="shared" si="30"/>
        <v>30.400741184000083</v>
      </c>
      <c r="N97" s="1134">
        <f t="shared" si="31"/>
        <v>48.131582245999823</v>
      </c>
      <c r="O97" s="1132">
        <v>0.6</v>
      </c>
      <c r="P97" s="1578">
        <f t="shared" si="32"/>
        <v>118.80032689640016</v>
      </c>
      <c r="Q97" s="1545"/>
      <c r="R97" s="1545"/>
    </row>
    <row r="98" spans="1:18" ht="14" customHeight="1" x14ac:dyDescent="0.15">
      <c r="A98" s="1599"/>
      <c r="B98" s="1545"/>
      <c r="C98" s="1132">
        <v>0.5</v>
      </c>
      <c r="D98" s="1545"/>
      <c r="E98" s="1569">
        <f t="shared" si="22"/>
        <v>1.0174693113849975</v>
      </c>
      <c r="F98" s="1570">
        <f t="shared" si="23"/>
        <v>0.4587383699999989</v>
      </c>
      <c r="G98" s="1571">
        <f t="shared" si="24"/>
        <v>0.72774135099999793</v>
      </c>
      <c r="H98" s="1572">
        <f t="shared" si="25"/>
        <v>1.0150392712000003</v>
      </c>
      <c r="I98" s="1573">
        <f t="shared" si="26"/>
        <v>1.6517582749999911</v>
      </c>
      <c r="J98" s="1574">
        <f t="shared" si="27"/>
        <v>5.428849999999966</v>
      </c>
      <c r="K98" s="1575">
        <f t="shared" si="28"/>
        <v>10.00186463000003</v>
      </c>
      <c r="L98" s="1576">
        <f t="shared" si="29"/>
        <v>20.005299999999899</v>
      </c>
      <c r="M98" s="1577">
        <f t="shared" si="30"/>
        <v>30.407492995000084</v>
      </c>
      <c r="N98" s="1134">
        <f t="shared" si="31"/>
        <v>48.329009804999821</v>
      </c>
      <c r="O98" s="1132">
        <v>0.5</v>
      </c>
      <c r="P98" s="1578">
        <f t="shared" si="32"/>
        <v>119.04326398740017</v>
      </c>
      <c r="Q98" s="1545"/>
      <c r="R98" s="1545"/>
    </row>
    <row r="99" spans="1:18" ht="14" customHeight="1" x14ac:dyDescent="0.15">
      <c r="A99" s="1599"/>
      <c r="B99" s="1545"/>
      <c r="C99" s="1132">
        <v>0.4</v>
      </c>
      <c r="D99" s="1545"/>
      <c r="E99" s="1569">
        <f t="shared" si="22"/>
        <v>1.0178575158079974</v>
      </c>
      <c r="F99" s="1570">
        <f t="shared" si="23"/>
        <v>0.46033035799999888</v>
      </c>
      <c r="G99" s="1582">
        <f t="shared" si="24"/>
        <v>0.7278393367999979</v>
      </c>
      <c r="H99" s="1572">
        <f t="shared" si="25"/>
        <v>1.0153734752000003</v>
      </c>
      <c r="I99" s="1573">
        <f t="shared" si="26"/>
        <v>1.654604851999991</v>
      </c>
      <c r="J99" s="1574">
        <f t="shared" si="27"/>
        <v>5.4338799999999656</v>
      </c>
      <c r="K99" s="1583">
        <f t="shared" si="28"/>
        <v>10.012193392000031</v>
      </c>
      <c r="L99" s="1576">
        <f t="shared" si="29"/>
        <v>20.023439999999898</v>
      </c>
      <c r="M99" s="1577">
        <f t="shared" si="30"/>
        <v>30.414244806000085</v>
      </c>
      <c r="N99" s="1134">
        <f t="shared" si="31"/>
        <v>48.526437363999818</v>
      </c>
      <c r="O99" s="1132">
        <v>0.4</v>
      </c>
      <c r="P99" s="1578">
        <f t="shared" si="32"/>
        <v>119.28620107840017</v>
      </c>
      <c r="Q99" s="1545"/>
      <c r="R99" s="1545"/>
    </row>
    <row r="100" spans="1:18" ht="14" customHeight="1" x14ac:dyDescent="0.15">
      <c r="A100" s="1599"/>
      <c r="B100" s="1545"/>
      <c r="C100" s="1132">
        <v>0.3</v>
      </c>
      <c r="D100" s="1545"/>
      <c r="E100" s="1569">
        <f t="shared" si="22"/>
        <v>1.0182457202309974</v>
      </c>
      <c r="F100" s="1570">
        <f t="shared" si="23"/>
        <v>0.46192234599999887</v>
      </c>
      <c r="G100" s="1571">
        <f t="shared" si="24"/>
        <v>0.72793732259999788</v>
      </c>
      <c r="H100" s="1572">
        <f t="shared" si="25"/>
        <v>1.0157076792000004</v>
      </c>
      <c r="I100" s="1573">
        <f t="shared" si="26"/>
        <v>1.6574514289999909</v>
      </c>
      <c r="J100" s="1574">
        <f t="shared" si="27"/>
        <v>5.4389099999999653</v>
      </c>
      <c r="K100" s="1575">
        <f t="shared" si="28"/>
        <v>10.022522154000031</v>
      </c>
      <c r="L100" s="1576">
        <f t="shared" si="29"/>
        <v>20.041579999999897</v>
      </c>
      <c r="M100" s="1577">
        <f t="shared" si="30"/>
        <v>30.420996617000085</v>
      </c>
      <c r="N100" s="1134">
        <f t="shared" si="31"/>
        <v>48.723864922999816</v>
      </c>
      <c r="O100" s="1132">
        <v>0.3</v>
      </c>
      <c r="P100" s="1578">
        <f t="shared" si="32"/>
        <v>119.52913816940017</v>
      </c>
      <c r="Q100" s="1545"/>
      <c r="R100" s="1545"/>
    </row>
    <row r="101" spans="1:18" ht="14" customHeight="1" x14ac:dyDescent="0.15">
      <c r="A101" s="1599"/>
      <c r="B101" s="1545"/>
      <c r="C101" s="1132">
        <v>0.2</v>
      </c>
      <c r="D101" s="1545"/>
      <c r="E101" s="1569">
        <f t="shared" si="22"/>
        <v>1.0186339246539973</v>
      </c>
      <c r="F101" s="1570">
        <f t="shared" si="23"/>
        <v>0.46351433399999886</v>
      </c>
      <c r="G101" s="1582">
        <f t="shared" si="24"/>
        <v>0.72803530839999786</v>
      </c>
      <c r="H101" s="1572">
        <f t="shared" si="25"/>
        <v>1.0160418832000004</v>
      </c>
      <c r="I101" s="1573">
        <f t="shared" si="26"/>
        <v>1.6602980059999908</v>
      </c>
      <c r="J101" s="1574">
        <f t="shared" si="27"/>
        <v>5.4439399999999649</v>
      </c>
      <c r="K101" s="1583">
        <f t="shared" si="28"/>
        <v>10.032850916000031</v>
      </c>
      <c r="L101" s="1576">
        <f t="shared" si="29"/>
        <v>20.059719999999896</v>
      </c>
      <c r="M101" s="1577">
        <f t="shared" si="30"/>
        <v>30.427748428000086</v>
      </c>
      <c r="N101" s="1134">
        <f t="shared" si="31"/>
        <v>48.921292481999814</v>
      </c>
      <c r="O101" s="1132">
        <v>0.2</v>
      </c>
      <c r="P101" s="1578">
        <f t="shared" si="32"/>
        <v>119.77207526040017</v>
      </c>
      <c r="Q101" s="1545"/>
      <c r="R101" s="1545"/>
    </row>
    <row r="102" spans="1:18" ht="14" customHeight="1" x14ac:dyDescent="0.15">
      <c r="A102" s="1599"/>
      <c r="B102" s="1545"/>
      <c r="C102" s="1132">
        <v>0.1</v>
      </c>
      <c r="D102" s="1545"/>
      <c r="E102" s="1569">
        <f t="shared" si="22"/>
        <v>1.0190221290769972</v>
      </c>
      <c r="F102" s="1570">
        <f t="shared" si="23"/>
        <v>0.46510632199999885</v>
      </c>
      <c r="G102" s="1571">
        <f t="shared" si="24"/>
        <v>0.72813329419999784</v>
      </c>
      <c r="H102" s="1572">
        <f t="shared" si="25"/>
        <v>1.0163760872000005</v>
      </c>
      <c r="I102" s="1573">
        <f t="shared" si="26"/>
        <v>1.6631445829999907</v>
      </c>
      <c r="J102" s="1574">
        <f t="shared" si="27"/>
        <v>5.4489699999999646</v>
      </c>
      <c r="K102" s="1575">
        <f t="shared" si="28"/>
        <v>10.043179678000032</v>
      </c>
      <c r="L102" s="1576">
        <f t="shared" si="29"/>
        <v>20.077859999999895</v>
      </c>
      <c r="M102" s="1577">
        <f t="shared" si="30"/>
        <v>30.434500239000087</v>
      </c>
      <c r="N102" s="1134">
        <f t="shared" si="31"/>
        <v>49.118720040999811</v>
      </c>
      <c r="O102" s="1132">
        <v>0.1</v>
      </c>
      <c r="P102" s="1578">
        <f t="shared" si="32"/>
        <v>120.01501235140017</v>
      </c>
      <c r="Q102" s="1545"/>
      <c r="R102" s="1545"/>
    </row>
    <row r="103" spans="1:18" ht="16" customHeight="1" x14ac:dyDescent="0.15">
      <c r="A103" s="1599"/>
      <c r="B103" s="1545"/>
      <c r="C103" s="1129">
        <v>0</v>
      </c>
      <c r="D103" s="1557"/>
      <c r="E103" s="1558">
        <f t="shared" si="22"/>
        <v>1.0194103334999971</v>
      </c>
      <c r="F103" s="1559">
        <f t="shared" si="23"/>
        <v>0.46669830999999884</v>
      </c>
      <c r="G103" s="1595">
        <f t="shared" si="24"/>
        <v>0.72823127999999782</v>
      </c>
      <c r="H103" s="1561">
        <f t="shared" si="25"/>
        <v>1.0167102912000006</v>
      </c>
      <c r="I103" s="1562">
        <f t="shared" si="26"/>
        <v>1.6659911599999906</v>
      </c>
      <c r="J103" s="1563">
        <f t="shared" si="27"/>
        <v>5.4539999999999642</v>
      </c>
      <c r="K103" s="1596">
        <f t="shared" si="28"/>
        <v>10.053508440000032</v>
      </c>
      <c r="L103" s="1565">
        <f t="shared" si="29"/>
        <v>20.095999999999894</v>
      </c>
      <c r="M103" s="1566">
        <f t="shared" si="30"/>
        <v>30.441252050000088</v>
      </c>
      <c r="N103" s="1131">
        <f t="shared" si="31"/>
        <v>49.316147599999809</v>
      </c>
      <c r="O103" s="1129">
        <v>0</v>
      </c>
      <c r="P103" s="1597">
        <f t="shared" si="32"/>
        <v>120.25794944240018</v>
      </c>
      <c r="Q103" s="1545"/>
      <c r="R103" s="1601"/>
    </row>
    <row r="104" spans="1:18" s="1545" customFormat="1" ht="28" customHeight="1" x14ac:dyDescent="0.15">
      <c r="A104" s="1599"/>
      <c r="C104" s="23"/>
      <c r="E104" s="30" t="s">
        <v>9</v>
      </c>
      <c r="F104" s="1603" t="s">
        <v>10</v>
      </c>
      <c r="G104" s="32" t="s">
        <v>11</v>
      </c>
      <c r="H104" s="814" t="s">
        <v>12</v>
      </c>
      <c r="I104" s="34" t="s">
        <v>13</v>
      </c>
      <c r="J104" s="909" t="s">
        <v>14</v>
      </c>
      <c r="K104" s="815" t="s">
        <v>15</v>
      </c>
      <c r="L104" s="37" t="s">
        <v>16</v>
      </c>
      <c r="M104" s="38" t="s">
        <v>17</v>
      </c>
      <c r="N104" s="39" t="s">
        <v>18</v>
      </c>
      <c r="O104" s="23"/>
      <c r="P104" s="1604" t="s">
        <v>333</v>
      </c>
    </row>
    <row r="105" spans="1:18" s="1545" customFormat="1" ht="13" customHeight="1" x14ac:dyDescent="0.15">
      <c r="A105" s="1602"/>
      <c r="B105" s="1602"/>
      <c r="C105" s="1602"/>
      <c r="D105" s="1602"/>
      <c r="E105" s="1602"/>
      <c r="F105" s="1602"/>
      <c r="G105" s="1602"/>
      <c r="H105" s="1602"/>
      <c r="I105" s="1602"/>
      <c r="J105" s="1602"/>
      <c r="K105" s="1602"/>
      <c r="L105" s="1602"/>
      <c r="M105" s="1602"/>
      <c r="N105" s="1602"/>
      <c r="O105" s="1602"/>
      <c r="P105" s="1602"/>
      <c r="Q105" s="1602"/>
      <c r="R105" s="1602"/>
    </row>
  </sheetData>
  <pageMargins left="0" right="0" top="0" bottom="0" header="0.51180599999999998" footer="0.51180599999999998"/>
  <pageSetup orientation="portrait"/>
  <headerFooter>
    <oddFooter>&amp;C&amp;"Helvetica Neue,Regular"&amp;12&amp;K000000&amp;P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showGridLines="0" workbookViewId="0">
      <selection activeCell="I119" sqref="I119"/>
    </sheetView>
  </sheetViews>
  <sheetFormatPr baseColWidth="10" defaultColWidth="8.83203125" defaultRowHeight="13" customHeight="1" x14ac:dyDescent="0.15"/>
  <cols>
    <col min="1" max="1" width="1.83203125" style="1539" customWidth="1"/>
    <col min="2" max="2" width="7.5" style="1539" customWidth="1"/>
    <col min="3" max="11" width="11" style="1539" customWidth="1"/>
    <col min="12" max="12" width="13.6640625" style="1539" customWidth="1"/>
    <col min="13" max="13" width="9" style="1539" customWidth="1"/>
    <col min="14" max="14" width="15.5" style="1539" customWidth="1"/>
    <col min="15" max="15" width="16" style="1539" customWidth="1"/>
    <col min="16" max="16" width="31" style="1610" customWidth="1"/>
    <col min="17" max="256" width="8.83203125" style="1537" customWidth="1"/>
    <col min="257" max="16384" width="8.83203125" style="1537"/>
  </cols>
  <sheetData>
    <row r="1" spans="1:16" ht="13.75" customHeight="1" x14ac:dyDescent="0.15">
      <c r="A1" s="1605"/>
      <c r="B1" s="1542"/>
      <c r="C1" s="1542"/>
      <c r="D1" s="1542"/>
      <c r="E1" s="1542"/>
      <c r="F1" s="1542"/>
      <c r="G1" s="1542"/>
      <c r="H1" s="1542"/>
      <c r="I1" s="1542"/>
      <c r="J1" s="1542"/>
      <c r="K1" s="1542"/>
      <c r="L1" s="1542"/>
      <c r="M1" s="1542"/>
      <c r="N1" s="1542"/>
      <c r="O1" s="1542"/>
      <c r="P1" s="1542"/>
    </row>
    <row r="2" spans="1:16" ht="30" customHeight="1" x14ac:dyDescent="0.15">
      <c r="A2" s="1606"/>
      <c r="B2" s="1127" t="s">
        <v>331</v>
      </c>
      <c r="C2" s="30" t="s">
        <v>9</v>
      </c>
      <c r="D2" s="31" t="s">
        <v>10</v>
      </c>
      <c r="E2" s="32" t="s">
        <v>11</v>
      </c>
      <c r="F2" s="814" t="s">
        <v>12</v>
      </c>
      <c r="G2" s="34" t="s">
        <v>13</v>
      </c>
      <c r="H2" s="909" t="s">
        <v>14</v>
      </c>
      <c r="I2" s="815" t="s">
        <v>15</v>
      </c>
      <c r="J2" s="37" t="s">
        <v>16</v>
      </c>
      <c r="K2" s="38" t="s">
        <v>17</v>
      </c>
      <c r="L2" s="39" t="s">
        <v>18</v>
      </c>
      <c r="M2" s="1198" t="s">
        <v>331</v>
      </c>
      <c r="N2" s="1152" t="s">
        <v>344</v>
      </c>
      <c r="O2" s="23"/>
      <c r="P2" s="1130">
        <v>5.8000000000000003E-2</v>
      </c>
    </row>
    <row r="3" spans="1:16" ht="14" customHeight="1" x14ac:dyDescent="0.15">
      <c r="A3" s="1606"/>
      <c r="B3" s="1199">
        <v>0</v>
      </c>
      <c r="C3" s="1200">
        <v>1.1179E-2</v>
      </c>
      <c r="D3" s="1201">
        <v>0.252361</v>
      </c>
      <c r="E3" s="1136">
        <v>1.52</v>
      </c>
      <c r="F3" s="1202">
        <v>0.96305620000000003</v>
      </c>
      <c r="G3" s="1203">
        <v>3.8550000000000001E-2</v>
      </c>
      <c r="H3" s="1204">
        <v>10.679</v>
      </c>
      <c r="I3" s="1137">
        <v>0.91</v>
      </c>
      <c r="J3" s="1205">
        <v>3.6004000000000001E-2</v>
      </c>
      <c r="K3" s="1206">
        <v>1.8676499999999999E-2</v>
      </c>
      <c r="L3" s="1207">
        <v>1.06E-6</v>
      </c>
      <c r="M3" s="1199">
        <v>0</v>
      </c>
      <c r="N3" s="101">
        <v>14.432119760000001</v>
      </c>
      <c r="O3" s="23"/>
      <c r="P3" s="1130">
        <v>3.8550000000000001E-2</v>
      </c>
    </row>
    <row r="4" spans="1:16" ht="14" customHeight="1" x14ac:dyDescent="0.15">
      <c r="A4" s="1606"/>
      <c r="B4" s="1208">
        <v>0.1</v>
      </c>
      <c r="C4" s="724">
        <v>1.1192590000000001E-2</v>
      </c>
      <c r="D4" s="447">
        <v>0.25669985000000001</v>
      </c>
      <c r="E4" s="846">
        <v>1.5206754099999999</v>
      </c>
      <c r="F4" s="536">
        <v>0.96383796620999995</v>
      </c>
      <c r="G4" s="737">
        <f>G3+0.0001945</f>
        <v>3.8744500000000001E-2</v>
      </c>
      <c r="H4" s="1209">
        <v>10.70263274</v>
      </c>
      <c r="I4" s="497">
        <v>0.91279999999999994</v>
      </c>
      <c r="J4" s="529">
        <v>3.6081219999999997E-2</v>
      </c>
      <c r="K4" s="848">
        <v>1.8684971000000002E-2</v>
      </c>
      <c r="L4" s="1210">
        <v>1.0792E-6</v>
      </c>
      <c r="M4" s="1208">
        <v>0.1</v>
      </c>
      <c r="N4" s="1211">
        <v>14.464592366410001</v>
      </c>
      <c r="O4" s="1135"/>
      <c r="P4" s="1611"/>
    </row>
    <row r="5" spans="1:16" ht="14" customHeight="1" x14ac:dyDescent="0.15">
      <c r="A5" s="1606"/>
      <c r="B5" s="1208">
        <v>0.2</v>
      </c>
      <c r="C5" s="724">
        <v>1.120618E-2</v>
      </c>
      <c r="D5" s="447">
        <v>0.26103870000000001</v>
      </c>
      <c r="E5" s="1136">
        <v>1.5213508200000001</v>
      </c>
      <c r="F5" s="943">
        <v>0.96461973241999999</v>
      </c>
      <c r="G5" s="737">
        <f>G4+0.0001945</f>
        <v>3.8939000000000001E-2</v>
      </c>
      <c r="H5" s="1209">
        <v>10.72626548</v>
      </c>
      <c r="I5" s="1137">
        <v>0.91559999999999997</v>
      </c>
      <c r="J5" s="529">
        <v>3.615844E-2</v>
      </c>
      <c r="K5" s="848">
        <v>1.8693442000000001E-2</v>
      </c>
      <c r="L5" s="1210">
        <v>1.0983999999999999E-6</v>
      </c>
      <c r="M5" s="1208">
        <v>0.2</v>
      </c>
      <c r="N5" s="1211">
        <v>14.497064972820001</v>
      </c>
      <c r="O5" s="23"/>
      <c r="P5" s="1612">
        <f>(P2-P3)/100</f>
        <v>1.9450000000000001E-4</v>
      </c>
    </row>
    <row r="6" spans="1:16" ht="14" customHeight="1" x14ac:dyDescent="0.15">
      <c r="A6" s="1606"/>
      <c r="B6" s="1208">
        <v>0.3</v>
      </c>
      <c r="C6" s="724">
        <v>1.121977E-2</v>
      </c>
      <c r="D6" s="447">
        <v>0.26537755000000002</v>
      </c>
      <c r="E6" s="846">
        <v>1.52202623</v>
      </c>
      <c r="F6" s="943">
        <v>0.96540149863000002</v>
      </c>
      <c r="G6" s="737">
        <f t="shared" ref="G6:G69" si="0">G5+0.0001945</f>
        <v>3.9133500000000002E-2</v>
      </c>
      <c r="H6" s="1209">
        <v>10.74989822</v>
      </c>
      <c r="I6" s="497">
        <v>0.91839999999999999</v>
      </c>
      <c r="J6" s="529">
        <v>3.6235660000000003E-2</v>
      </c>
      <c r="K6" s="848">
        <v>1.8701913000000001E-2</v>
      </c>
      <c r="L6" s="1210">
        <v>1.1175999999999999E-6</v>
      </c>
      <c r="M6" s="1208">
        <v>0.3</v>
      </c>
      <c r="N6" s="1211">
        <v>14.52953757923</v>
      </c>
      <c r="O6" s="23"/>
      <c r="P6" s="1609"/>
    </row>
    <row r="7" spans="1:16" ht="14" customHeight="1" x14ac:dyDescent="0.15">
      <c r="A7" s="1606"/>
      <c r="B7" s="1208">
        <v>0.4</v>
      </c>
      <c r="C7" s="724">
        <v>1.123336E-2</v>
      </c>
      <c r="D7" s="447">
        <v>0.26971640000000002</v>
      </c>
      <c r="E7" s="1136">
        <v>1.52270164</v>
      </c>
      <c r="F7" s="536">
        <v>0.96618326483999994</v>
      </c>
      <c r="G7" s="737">
        <f t="shared" si="0"/>
        <v>3.9328000000000002E-2</v>
      </c>
      <c r="H7" s="1209">
        <v>10.77353096</v>
      </c>
      <c r="I7" s="1137">
        <v>0.92120000000000002</v>
      </c>
      <c r="J7" s="529">
        <v>3.6312879999999999E-2</v>
      </c>
      <c r="K7" s="848">
        <v>1.8710384E-2</v>
      </c>
      <c r="L7" s="1210">
        <v>1.1368000000000001E-6</v>
      </c>
      <c r="M7" s="1208">
        <v>0.4</v>
      </c>
      <c r="N7" s="1211">
        <v>14.56201018564</v>
      </c>
      <c r="O7" s="23"/>
      <c r="P7" s="1609"/>
    </row>
    <row r="8" spans="1:16" ht="14" customHeight="1" x14ac:dyDescent="0.15">
      <c r="A8" s="1606"/>
      <c r="B8" s="1208">
        <v>0.5</v>
      </c>
      <c r="C8" s="724">
        <v>1.124695E-2</v>
      </c>
      <c r="D8" s="447">
        <v>0.27405524999999997</v>
      </c>
      <c r="E8" s="846">
        <v>1.5233770499999999</v>
      </c>
      <c r="F8" s="943">
        <v>0.96696503104999998</v>
      </c>
      <c r="G8" s="737">
        <f t="shared" si="0"/>
        <v>3.9522500000000002E-2</v>
      </c>
      <c r="H8" s="1209">
        <v>10.7971637</v>
      </c>
      <c r="I8" s="497">
        <v>0.92400000000000004</v>
      </c>
      <c r="J8" s="529">
        <v>3.6390100000000002E-2</v>
      </c>
      <c r="K8" s="848">
        <v>1.8718855E-2</v>
      </c>
      <c r="L8" s="1210">
        <v>1.156E-6</v>
      </c>
      <c r="M8" s="1208">
        <v>0.5</v>
      </c>
      <c r="N8" s="1211">
        <v>14.59448279205</v>
      </c>
      <c r="O8" s="23"/>
      <c r="P8" s="1609"/>
    </row>
    <row r="9" spans="1:16" ht="14" customHeight="1" x14ac:dyDescent="0.15">
      <c r="A9" s="1606"/>
      <c r="B9" s="1208">
        <v>0.6</v>
      </c>
      <c r="C9" s="724">
        <v>1.1260539999999999E-2</v>
      </c>
      <c r="D9" s="447">
        <v>0.27839409999999998</v>
      </c>
      <c r="E9" s="1136">
        <v>1.5240524600000001</v>
      </c>
      <c r="F9" s="943">
        <v>0.96774679726000001</v>
      </c>
      <c r="G9" s="737">
        <f t="shared" si="0"/>
        <v>3.9717000000000002E-2</v>
      </c>
      <c r="H9" s="1209">
        <v>10.820796440000001</v>
      </c>
      <c r="I9" s="1137">
        <v>0.92679999999999996</v>
      </c>
      <c r="J9" s="529">
        <v>3.6467319999999998E-2</v>
      </c>
      <c r="K9" s="848">
        <v>1.8727325999999999E-2</v>
      </c>
      <c r="L9" s="1210">
        <v>1.1752E-6</v>
      </c>
      <c r="M9" s="1208">
        <v>0.6</v>
      </c>
      <c r="N9" s="1211">
        <v>14.62695539846</v>
      </c>
      <c r="O9" s="23"/>
      <c r="P9" s="1609"/>
    </row>
    <row r="10" spans="1:16" ht="14" customHeight="1" x14ac:dyDescent="0.15">
      <c r="A10" s="1606"/>
      <c r="B10" s="1208">
        <v>0.7</v>
      </c>
      <c r="C10" s="724">
        <v>1.127413E-2</v>
      </c>
      <c r="D10" s="447">
        <v>0.28273294999999998</v>
      </c>
      <c r="E10" s="846">
        <v>1.52472787</v>
      </c>
      <c r="F10" s="536">
        <v>0.96852856346999905</v>
      </c>
      <c r="G10" s="737">
        <f t="shared" si="0"/>
        <v>3.9911500000000003E-2</v>
      </c>
      <c r="H10" s="1209">
        <v>10.844429180000001</v>
      </c>
      <c r="I10" s="497">
        <v>0.92959999999999898</v>
      </c>
      <c r="J10" s="529">
        <v>3.654454E-2</v>
      </c>
      <c r="K10" s="848">
        <v>1.8735796999999998E-2</v>
      </c>
      <c r="L10" s="1210">
        <v>1.1943999999999999E-6</v>
      </c>
      <c r="M10" s="1208">
        <v>0.7</v>
      </c>
      <c r="N10" s="1211">
        <v>14.65942800487</v>
      </c>
      <c r="O10" s="1135"/>
      <c r="P10" s="1609"/>
    </row>
    <row r="11" spans="1:16" ht="14" customHeight="1" x14ac:dyDescent="0.15">
      <c r="A11" s="1606"/>
      <c r="B11" s="1208">
        <v>0.8</v>
      </c>
      <c r="C11" s="724">
        <v>1.1287719999999999E-2</v>
      </c>
      <c r="D11" s="447">
        <v>0.28707179999999999</v>
      </c>
      <c r="E11" s="1136">
        <v>1.5254032799999999</v>
      </c>
      <c r="F11" s="943">
        <v>0.96931032967999897</v>
      </c>
      <c r="G11" s="737">
        <f t="shared" si="0"/>
        <v>4.0106000000000003E-2</v>
      </c>
      <c r="H11" s="1209">
        <v>10.868061920000001</v>
      </c>
      <c r="I11" s="1137">
        <v>0.93239999999999901</v>
      </c>
      <c r="J11" s="529">
        <v>3.6621760000000003E-2</v>
      </c>
      <c r="K11" s="848">
        <v>1.8744268000000001E-2</v>
      </c>
      <c r="L11" s="1210">
        <v>1.2135999999999999E-6</v>
      </c>
      <c r="M11" s="1208">
        <v>0.8</v>
      </c>
      <c r="N11" s="1211">
        <v>14.691900611279999</v>
      </c>
      <c r="O11" s="1135"/>
      <c r="P11" s="1609"/>
    </row>
    <row r="12" spans="1:16" ht="14" customHeight="1" x14ac:dyDescent="0.15">
      <c r="A12" s="1606"/>
      <c r="B12" s="1208">
        <v>0.9</v>
      </c>
      <c r="C12" s="724">
        <v>1.130131E-2</v>
      </c>
      <c r="D12" s="447">
        <v>0.29141064999999999</v>
      </c>
      <c r="E12" s="846">
        <v>1.5260786900000001</v>
      </c>
      <c r="F12" s="943">
        <v>0.97009209588999901</v>
      </c>
      <c r="G12" s="737">
        <f t="shared" si="0"/>
        <v>4.0300500000000003E-2</v>
      </c>
      <c r="H12" s="1209">
        <v>10.891694660000001</v>
      </c>
      <c r="I12" s="497">
        <v>0.93519999999999903</v>
      </c>
      <c r="J12" s="529">
        <v>3.6698979999999999E-2</v>
      </c>
      <c r="K12" s="848">
        <v>1.8752739000000001E-2</v>
      </c>
      <c r="L12" s="1210">
        <v>1.2328000000000001E-6</v>
      </c>
      <c r="M12" s="1208">
        <v>0.9</v>
      </c>
      <c r="N12" s="1211">
        <v>14.724373217689999</v>
      </c>
      <c r="O12" s="23"/>
      <c r="P12" s="1609"/>
    </row>
    <row r="13" spans="1:16" ht="14" customHeight="1" x14ac:dyDescent="0.15">
      <c r="A13" s="1606"/>
      <c r="B13" s="1199">
        <v>1</v>
      </c>
      <c r="C13" s="1200">
        <v>1.1314899999999999E-2</v>
      </c>
      <c r="D13" s="1201">
        <v>0.2957495</v>
      </c>
      <c r="E13" s="1136">
        <v>1.5267541</v>
      </c>
      <c r="F13" s="1202">
        <v>0.97087386209999904</v>
      </c>
      <c r="G13" s="737">
        <f t="shared" si="0"/>
        <v>4.0495000000000003E-2</v>
      </c>
      <c r="H13" s="1204">
        <v>10.915327400000001</v>
      </c>
      <c r="I13" s="1137">
        <v>0.93799999999999895</v>
      </c>
      <c r="J13" s="1205">
        <v>3.6776200000000002E-2</v>
      </c>
      <c r="K13" s="1206">
        <v>1.876121E-2</v>
      </c>
      <c r="L13" s="1207">
        <v>1.252E-6</v>
      </c>
      <c r="M13" s="1199">
        <v>1</v>
      </c>
      <c r="N13" s="101">
        <v>14.756845824099999</v>
      </c>
      <c r="O13" s="1138"/>
      <c r="P13" s="1608"/>
    </row>
    <row r="14" spans="1:16" ht="14" customHeight="1" x14ac:dyDescent="0.15">
      <c r="A14" s="1606"/>
      <c r="B14" s="1208">
        <v>1.1000000000000001</v>
      </c>
      <c r="C14" s="724">
        <v>1.132849E-2</v>
      </c>
      <c r="D14" s="447">
        <v>0.30008835</v>
      </c>
      <c r="E14" s="846">
        <v>1.5274295099999999</v>
      </c>
      <c r="F14" s="943">
        <v>0.97165562830999896</v>
      </c>
      <c r="G14" s="737">
        <f t="shared" si="0"/>
        <v>4.0689500000000003E-2</v>
      </c>
      <c r="H14" s="1209">
        <v>10.938960140000001</v>
      </c>
      <c r="I14" s="497">
        <v>0.94079999999999897</v>
      </c>
      <c r="J14" s="529">
        <v>3.6853419999999998E-2</v>
      </c>
      <c r="K14" s="848">
        <v>1.8769681E-2</v>
      </c>
      <c r="L14" s="1210">
        <v>1.2712E-6</v>
      </c>
      <c r="M14" s="1208">
        <v>1.1000000000000001</v>
      </c>
      <c r="N14" s="1211">
        <v>14.789318430510001</v>
      </c>
      <c r="O14" s="23"/>
      <c r="P14" s="1609"/>
    </row>
    <row r="15" spans="1:16" ht="14" customHeight="1" x14ac:dyDescent="0.15">
      <c r="A15" s="1606"/>
      <c r="B15" s="1208">
        <v>1.2</v>
      </c>
      <c r="C15" s="724">
        <v>1.1342079999999999E-2</v>
      </c>
      <c r="D15" s="447">
        <v>0.30442720000000001</v>
      </c>
      <c r="E15" s="1136">
        <v>1.5281049200000001</v>
      </c>
      <c r="F15" s="943">
        <v>0.972437394519999</v>
      </c>
      <c r="G15" s="737">
        <f t="shared" si="0"/>
        <v>4.0884000000000004E-2</v>
      </c>
      <c r="H15" s="1209">
        <v>10.962592880000001</v>
      </c>
      <c r="I15" s="1137">
        <v>0.943599999999999</v>
      </c>
      <c r="J15" s="529">
        <v>3.6930640000000001E-2</v>
      </c>
      <c r="K15" s="848">
        <v>1.8778151999999999E-2</v>
      </c>
      <c r="L15" s="1210">
        <v>1.2904E-6</v>
      </c>
      <c r="M15" s="1208">
        <v>1.2</v>
      </c>
      <c r="N15" s="1211">
        <v>14.821791036920001</v>
      </c>
      <c r="O15" s="23"/>
      <c r="P15" s="1609"/>
    </row>
    <row r="16" spans="1:16" ht="14" customHeight="1" x14ac:dyDescent="0.15">
      <c r="A16" s="1606"/>
      <c r="B16" s="1208">
        <v>1.3</v>
      </c>
      <c r="C16" s="724">
        <v>1.135567E-2</v>
      </c>
      <c r="D16" s="447">
        <v>0.30876605000000001</v>
      </c>
      <c r="E16" s="846">
        <v>1.52878033</v>
      </c>
      <c r="F16" s="536">
        <v>0.97321916072999903</v>
      </c>
      <c r="G16" s="737">
        <f t="shared" si="0"/>
        <v>4.1078500000000004E-2</v>
      </c>
      <c r="H16" s="1209">
        <v>10.986225620000001</v>
      </c>
      <c r="I16" s="497">
        <v>0.94639999999999902</v>
      </c>
      <c r="J16" s="529">
        <v>3.7007859999999899E-2</v>
      </c>
      <c r="K16" s="848">
        <v>1.8786622999999999E-2</v>
      </c>
      <c r="L16" s="1210">
        <v>1.3095999999999999E-6</v>
      </c>
      <c r="M16" s="1208">
        <v>1.3</v>
      </c>
      <c r="N16" s="1211">
        <v>14.85426364333</v>
      </c>
      <c r="O16" s="23"/>
      <c r="P16" s="1609"/>
    </row>
    <row r="17" spans="1:16" ht="14" customHeight="1" x14ac:dyDescent="0.15">
      <c r="A17" s="1606"/>
      <c r="B17" s="1208">
        <v>1.4</v>
      </c>
      <c r="C17" s="724">
        <v>1.1369260000000001E-2</v>
      </c>
      <c r="D17" s="447">
        <v>0.31310490000000002</v>
      </c>
      <c r="E17" s="1136">
        <v>1.52945574</v>
      </c>
      <c r="F17" s="943">
        <v>0.97400092693999896</v>
      </c>
      <c r="G17" s="737">
        <f t="shared" si="0"/>
        <v>4.1273000000000004E-2</v>
      </c>
      <c r="H17" s="1209">
        <v>11.009858360000001</v>
      </c>
      <c r="I17" s="1137">
        <v>0.94919999999999904</v>
      </c>
      <c r="J17" s="529">
        <v>3.7085079999999902E-2</v>
      </c>
      <c r="K17" s="848">
        <v>1.8795093999999998E-2</v>
      </c>
      <c r="L17" s="1210">
        <v>1.3288000000000001E-6</v>
      </c>
      <c r="M17" s="1208">
        <v>1.4</v>
      </c>
      <c r="N17" s="1211">
        <v>14.88673624974</v>
      </c>
      <c r="O17" s="23"/>
      <c r="P17" s="1609"/>
    </row>
    <row r="18" spans="1:16" ht="14" customHeight="1" x14ac:dyDescent="0.15">
      <c r="A18" s="1606"/>
      <c r="B18" s="1208">
        <v>1.5</v>
      </c>
      <c r="C18" s="724">
        <v>1.138285E-2</v>
      </c>
      <c r="D18" s="447">
        <v>0.31744375000000002</v>
      </c>
      <c r="E18" s="846">
        <v>1.5301311500000001</v>
      </c>
      <c r="F18" s="943">
        <v>0.97478269314999899</v>
      </c>
      <c r="G18" s="737">
        <f t="shared" si="0"/>
        <v>4.1467500000000004E-2</v>
      </c>
      <c r="H18" s="1209">
        <v>11.033491100000001</v>
      </c>
      <c r="I18" s="497">
        <v>0.95199999999999896</v>
      </c>
      <c r="J18" s="529">
        <v>3.7162299999999898E-2</v>
      </c>
      <c r="K18" s="848">
        <v>1.8803565000000001E-2</v>
      </c>
      <c r="L18" s="1210">
        <v>1.3480000000000001E-6</v>
      </c>
      <c r="M18" s="1208">
        <v>1.5</v>
      </c>
      <c r="N18" s="1211">
        <v>14.91920885615</v>
      </c>
      <c r="O18" s="23"/>
      <c r="P18" s="1609"/>
    </row>
    <row r="19" spans="1:16" ht="14" customHeight="1" x14ac:dyDescent="0.15">
      <c r="A19" s="1606"/>
      <c r="B19" s="1208">
        <v>1.6</v>
      </c>
      <c r="C19" s="724">
        <v>1.1396440000000001E-2</v>
      </c>
      <c r="D19" s="447">
        <v>0.32178259999999997</v>
      </c>
      <c r="E19" s="1136">
        <v>1.53080656</v>
      </c>
      <c r="F19" s="536">
        <v>0.97556445935999903</v>
      </c>
      <c r="G19" s="737">
        <f t="shared" si="0"/>
        <v>4.1662000000000005E-2</v>
      </c>
      <c r="H19" s="1209">
        <v>11.057123839999999</v>
      </c>
      <c r="I19" s="1137">
        <v>0.95479999999999898</v>
      </c>
      <c r="J19" s="529">
        <v>3.7239519999999901E-2</v>
      </c>
      <c r="K19" s="848">
        <v>1.8812036000000001E-2</v>
      </c>
      <c r="L19" s="1210">
        <v>1.3672E-6</v>
      </c>
      <c r="M19" s="1208">
        <v>1.6</v>
      </c>
      <c r="N19" s="1211">
        <v>14.95168146256</v>
      </c>
      <c r="O19" s="23"/>
      <c r="P19" s="1609"/>
    </row>
    <row r="20" spans="1:16" ht="14" customHeight="1" x14ac:dyDescent="0.15">
      <c r="A20" s="1606"/>
      <c r="B20" s="1208">
        <v>1.7</v>
      </c>
      <c r="C20" s="724">
        <v>1.141003E-2</v>
      </c>
      <c r="D20" s="447">
        <v>0.32612144999999998</v>
      </c>
      <c r="E20" s="846">
        <v>1.53148197</v>
      </c>
      <c r="F20" s="943">
        <v>0.97634622556999895</v>
      </c>
      <c r="G20" s="737">
        <f t="shared" si="0"/>
        <v>4.1856500000000005E-2</v>
      </c>
      <c r="H20" s="1209">
        <v>11.080756579999999</v>
      </c>
      <c r="I20" s="497">
        <v>0.95759999999999901</v>
      </c>
      <c r="J20" s="529">
        <v>3.7316739999999897E-2</v>
      </c>
      <c r="K20" s="848">
        <v>1.8820507E-2</v>
      </c>
      <c r="L20" s="1210">
        <v>1.3864E-6</v>
      </c>
      <c r="M20" s="1208">
        <v>1.7</v>
      </c>
      <c r="N20" s="1211">
        <v>14.98415406897</v>
      </c>
      <c r="O20" s="23"/>
      <c r="P20" s="1609"/>
    </row>
    <row r="21" spans="1:16" ht="14" customHeight="1" x14ac:dyDescent="0.15">
      <c r="A21" s="1606"/>
      <c r="B21" s="1208">
        <v>1.8</v>
      </c>
      <c r="C21" s="724">
        <v>1.1423620000000001E-2</v>
      </c>
      <c r="D21" s="447">
        <v>0.33046029999999998</v>
      </c>
      <c r="E21" s="1136">
        <v>1.5321573799999999</v>
      </c>
      <c r="F21" s="943">
        <v>0.97712799177999898</v>
      </c>
      <c r="G21" s="737">
        <f t="shared" si="0"/>
        <v>4.2051000000000005E-2</v>
      </c>
      <c r="H21" s="1209">
        <v>11.104389319999999</v>
      </c>
      <c r="I21" s="1137">
        <v>0.96039999999999803</v>
      </c>
      <c r="J21" s="529">
        <v>3.73939599999999E-2</v>
      </c>
      <c r="K21" s="848">
        <v>1.88289780000001E-2</v>
      </c>
      <c r="L21" s="1210">
        <v>1.4055999999999999E-6</v>
      </c>
      <c r="M21" s="1208">
        <v>1.8</v>
      </c>
      <c r="N21" s="1211">
        <v>15.01662667538</v>
      </c>
      <c r="O21" s="23"/>
      <c r="P21" s="1609"/>
    </row>
    <row r="22" spans="1:16" ht="14" customHeight="1" x14ac:dyDescent="0.15">
      <c r="A22" s="1606"/>
      <c r="B22" s="1208">
        <v>1.9</v>
      </c>
      <c r="C22" s="724">
        <v>1.143721E-2</v>
      </c>
      <c r="D22" s="447">
        <v>0.33479914999999999</v>
      </c>
      <c r="E22" s="846">
        <v>1.5328327900000001</v>
      </c>
      <c r="F22" s="536">
        <v>0.97790975798999902</v>
      </c>
      <c r="G22" s="737">
        <f t="shared" si="0"/>
        <v>4.2245500000000005E-2</v>
      </c>
      <c r="H22" s="1209">
        <v>11.128022059999999</v>
      </c>
      <c r="I22" s="497">
        <v>0.96319999999999795</v>
      </c>
      <c r="J22" s="529">
        <v>3.7471179999999903E-2</v>
      </c>
      <c r="K22" s="848">
        <v>1.88374490000001E-2</v>
      </c>
      <c r="L22" s="1210">
        <v>1.4248000000000001E-6</v>
      </c>
      <c r="M22" s="1208">
        <v>1.9</v>
      </c>
      <c r="N22" s="1211">
        <v>15.049099281789999</v>
      </c>
      <c r="O22" s="23"/>
      <c r="P22" s="1609"/>
    </row>
    <row r="23" spans="1:16" ht="14" customHeight="1" x14ac:dyDescent="0.15">
      <c r="A23" s="1606"/>
      <c r="B23" s="1199">
        <v>2</v>
      </c>
      <c r="C23" s="1200">
        <v>1.1450800000000001E-2</v>
      </c>
      <c r="D23" s="1201">
        <v>0.339138</v>
      </c>
      <c r="E23" s="1136">
        <v>1.5335082</v>
      </c>
      <c r="F23" s="1202">
        <v>0.97869152419999805</v>
      </c>
      <c r="G23" s="737">
        <f t="shared" si="0"/>
        <v>4.2440000000000005E-2</v>
      </c>
      <c r="H23" s="1204">
        <v>11.151654799999999</v>
      </c>
      <c r="I23" s="1137">
        <v>0.96599999999999797</v>
      </c>
      <c r="J23" s="1205">
        <v>3.7548399999999899E-2</v>
      </c>
      <c r="K23" s="1206">
        <v>1.8845920000000099E-2</v>
      </c>
      <c r="L23" s="1207">
        <v>1.4440000000000001E-6</v>
      </c>
      <c r="M23" s="1199">
        <v>2</v>
      </c>
      <c r="N23" s="101">
        <v>15.081571888199999</v>
      </c>
      <c r="O23" s="1138"/>
      <c r="P23" s="1608"/>
    </row>
    <row r="24" spans="1:16" ht="14" customHeight="1" x14ac:dyDescent="0.15">
      <c r="A24" s="1606"/>
      <c r="B24" s="1208">
        <v>2.1</v>
      </c>
      <c r="C24" s="724">
        <v>1.146439E-2</v>
      </c>
      <c r="D24" s="447">
        <v>0.34347685</v>
      </c>
      <c r="E24" s="846">
        <v>1.5341836099999999</v>
      </c>
      <c r="F24" s="943">
        <v>0.97947329040999798</v>
      </c>
      <c r="G24" s="737">
        <f t="shared" si="0"/>
        <v>4.2634500000000006E-2</v>
      </c>
      <c r="H24" s="1209">
        <v>11.175287539999999</v>
      </c>
      <c r="I24" s="497">
        <v>0.968799999999998</v>
      </c>
      <c r="J24" s="529">
        <v>3.7625619999999901E-2</v>
      </c>
      <c r="K24" s="848">
        <v>1.8854391000000099E-2</v>
      </c>
      <c r="L24" s="1210">
        <v>1.4632E-6</v>
      </c>
      <c r="M24" s="1208">
        <v>2.1</v>
      </c>
      <c r="N24" s="1211">
        <v>15.114044494610001</v>
      </c>
      <c r="O24" s="23"/>
      <c r="P24" s="1609"/>
    </row>
    <row r="25" spans="1:16" ht="14" customHeight="1" x14ac:dyDescent="0.15">
      <c r="A25" s="1606"/>
      <c r="B25" s="1208">
        <v>2.2000000000000002</v>
      </c>
      <c r="C25" s="724">
        <v>1.147798E-2</v>
      </c>
      <c r="D25" s="447">
        <v>0.34781570000000001</v>
      </c>
      <c r="E25" s="1136">
        <v>1.5348590200000001</v>
      </c>
      <c r="F25" s="536">
        <v>0.98025505661999801</v>
      </c>
      <c r="G25" s="737">
        <f t="shared" si="0"/>
        <v>4.2829000000000006E-2</v>
      </c>
      <c r="H25" s="1209">
        <v>11.198920279999999</v>
      </c>
      <c r="I25" s="1137">
        <v>0.97159999999999802</v>
      </c>
      <c r="J25" s="529">
        <v>3.7702839999999897E-2</v>
      </c>
      <c r="K25" s="848">
        <v>1.8862862000000102E-2</v>
      </c>
      <c r="L25" s="1210">
        <v>1.4824E-6</v>
      </c>
      <c r="M25" s="1208">
        <v>2.2000000000000002</v>
      </c>
      <c r="N25" s="1211">
        <v>15.146517101020001</v>
      </c>
      <c r="O25" s="23"/>
      <c r="P25" s="1609"/>
    </row>
    <row r="26" spans="1:16" ht="14" customHeight="1" x14ac:dyDescent="0.15">
      <c r="A26" s="1606"/>
      <c r="B26" s="1208">
        <v>2.2999999999999998</v>
      </c>
      <c r="C26" s="724">
        <v>1.149157E-2</v>
      </c>
      <c r="D26" s="447">
        <v>0.35215455000000001</v>
      </c>
      <c r="E26" s="846">
        <v>1.53553443</v>
      </c>
      <c r="F26" s="943">
        <v>0.98103682282999805</v>
      </c>
      <c r="G26" s="737">
        <f t="shared" si="0"/>
        <v>4.3023500000000006E-2</v>
      </c>
      <c r="H26" s="1209">
        <v>11.222553019999999</v>
      </c>
      <c r="I26" s="497">
        <v>0.97439999999999805</v>
      </c>
      <c r="J26" s="529">
        <v>3.77800599999999E-2</v>
      </c>
      <c r="K26" s="848">
        <v>1.8871333000000101E-2</v>
      </c>
      <c r="L26" s="1210">
        <v>1.5015999999999999E-6</v>
      </c>
      <c r="M26" s="1208">
        <v>2.2999999999999998</v>
      </c>
      <c r="N26" s="1211">
        <v>15.17898970743</v>
      </c>
      <c r="O26" s="23"/>
      <c r="P26" s="1609"/>
    </row>
    <row r="27" spans="1:16" ht="14" customHeight="1" x14ac:dyDescent="0.15">
      <c r="A27" s="1606"/>
      <c r="B27" s="1208">
        <v>2.4</v>
      </c>
      <c r="C27" s="724">
        <v>1.150516E-2</v>
      </c>
      <c r="D27" s="447">
        <v>0.35649340000000002</v>
      </c>
      <c r="E27" s="1136">
        <v>1.5362098399999999</v>
      </c>
      <c r="F27" s="943">
        <v>0.98181858903999797</v>
      </c>
      <c r="G27" s="737">
        <f t="shared" si="0"/>
        <v>4.3218000000000006E-2</v>
      </c>
      <c r="H27" s="1209">
        <v>11.246185759999999</v>
      </c>
      <c r="I27" s="1137">
        <v>0.97719999999999796</v>
      </c>
      <c r="J27" s="529">
        <v>3.7857279999999903E-2</v>
      </c>
      <c r="K27" s="848">
        <v>1.8879804000000101E-2</v>
      </c>
      <c r="L27" s="1210">
        <v>1.5207999999999999E-6</v>
      </c>
      <c r="M27" s="1208">
        <v>2.4</v>
      </c>
      <c r="N27" s="1211">
        <v>15.21146231384</v>
      </c>
      <c r="O27" s="23"/>
      <c r="P27" s="1609"/>
    </row>
    <row r="28" spans="1:16" ht="14" customHeight="1" x14ac:dyDescent="0.15">
      <c r="A28" s="1606"/>
      <c r="B28" s="1208">
        <v>2.5</v>
      </c>
      <c r="C28" s="724">
        <v>1.1518749999999999E-2</v>
      </c>
      <c r="D28" s="447">
        <v>0.36083225000000002</v>
      </c>
      <c r="E28" s="846">
        <v>1.5368852500000001</v>
      </c>
      <c r="F28" s="536">
        <v>0.982600355249998</v>
      </c>
      <c r="G28" s="737">
        <f t="shared" si="0"/>
        <v>4.3412500000000007E-2</v>
      </c>
      <c r="H28" s="1209">
        <v>11.2698185</v>
      </c>
      <c r="I28" s="497">
        <v>0.97999999999999798</v>
      </c>
      <c r="J28" s="529">
        <v>3.7934499999999899E-2</v>
      </c>
      <c r="K28" s="848">
        <v>1.88882750000001E-2</v>
      </c>
      <c r="L28" s="1210">
        <v>1.5400000000000001E-6</v>
      </c>
      <c r="M28" s="1208">
        <v>2.5</v>
      </c>
      <c r="N28" s="1211">
        <v>15.24393492025</v>
      </c>
      <c r="O28" s="23"/>
      <c r="P28" s="1609"/>
    </row>
    <row r="29" spans="1:16" ht="14" customHeight="1" x14ac:dyDescent="0.15">
      <c r="A29" s="1606"/>
      <c r="B29" s="1208">
        <v>2.6</v>
      </c>
      <c r="C29" s="724">
        <v>1.153234E-2</v>
      </c>
      <c r="D29" s="447">
        <v>0.36517110000000003</v>
      </c>
      <c r="E29" s="1136">
        <v>1.53756066</v>
      </c>
      <c r="F29" s="943">
        <v>0.98338212145999804</v>
      </c>
      <c r="G29" s="737">
        <f t="shared" si="0"/>
        <v>4.3607000000000007E-2</v>
      </c>
      <c r="H29" s="1209">
        <v>11.29345124</v>
      </c>
      <c r="I29" s="1137">
        <v>0.98279999999999801</v>
      </c>
      <c r="J29" s="529">
        <v>3.8011719999999902E-2</v>
      </c>
      <c r="K29" s="848">
        <v>1.88967460000001E-2</v>
      </c>
      <c r="L29" s="1210">
        <v>1.5592E-6</v>
      </c>
      <c r="M29" s="1208">
        <v>2.6</v>
      </c>
      <c r="N29" s="1211">
        <v>15.27640752666</v>
      </c>
      <c r="O29" s="23"/>
      <c r="P29" s="1609"/>
    </row>
    <row r="30" spans="1:16" ht="14" customHeight="1" x14ac:dyDescent="0.15">
      <c r="A30" s="1606"/>
      <c r="B30" s="1208">
        <v>2.7</v>
      </c>
      <c r="C30" s="724">
        <v>1.1545929999999999E-2</v>
      </c>
      <c r="D30" s="447">
        <v>0.36950994999999998</v>
      </c>
      <c r="E30" s="846">
        <v>1.53823607</v>
      </c>
      <c r="F30" s="943">
        <v>0.98416388766999796</v>
      </c>
      <c r="G30" s="737">
        <f t="shared" si="0"/>
        <v>4.3801500000000007E-2</v>
      </c>
      <c r="H30" s="1209">
        <v>11.31708398</v>
      </c>
      <c r="I30" s="497">
        <v>0.98559999999999803</v>
      </c>
      <c r="J30" s="529">
        <v>3.8088939999999898E-2</v>
      </c>
      <c r="K30" s="848">
        <v>1.8905217000000099E-2</v>
      </c>
      <c r="L30" s="1210">
        <v>1.5784E-6</v>
      </c>
      <c r="M30" s="1208">
        <v>2.7</v>
      </c>
      <c r="N30" s="1211">
        <v>15.30888013307</v>
      </c>
      <c r="O30" s="23"/>
      <c r="P30" s="1609"/>
    </row>
    <row r="31" spans="1:16" ht="14" customHeight="1" x14ac:dyDescent="0.15">
      <c r="A31" s="1606"/>
      <c r="B31" s="1208">
        <v>2.8</v>
      </c>
      <c r="C31" s="724">
        <v>1.155952E-2</v>
      </c>
      <c r="D31" s="447">
        <v>0.37384879999999998</v>
      </c>
      <c r="E31" s="1136">
        <v>1.5389114800000001</v>
      </c>
      <c r="F31" s="536">
        <v>0.984945653879998</v>
      </c>
      <c r="G31" s="737">
        <f t="shared" si="0"/>
        <v>4.3996000000000007E-2</v>
      </c>
      <c r="H31" s="1209">
        <v>11.34071672</v>
      </c>
      <c r="I31" s="1137">
        <v>0.98839999999999795</v>
      </c>
      <c r="J31" s="529">
        <v>3.81661599999999E-2</v>
      </c>
      <c r="K31" s="848">
        <v>1.8913688000000099E-2</v>
      </c>
      <c r="L31" s="1210">
        <v>1.5976E-6</v>
      </c>
      <c r="M31" s="1208">
        <v>2.8</v>
      </c>
      <c r="N31" s="1211">
        <v>15.34135273948</v>
      </c>
      <c r="O31" s="23"/>
      <c r="P31" s="1609"/>
    </row>
    <row r="32" spans="1:16" ht="14" customHeight="1" x14ac:dyDescent="0.15">
      <c r="A32" s="1606"/>
      <c r="B32" s="1208">
        <v>2.9</v>
      </c>
      <c r="C32" s="724">
        <v>1.1573109999999999E-2</v>
      </c>
      <c r="D32" s="447">
        <v>0.37818764999999999</v>
      </c>
      <c r="E32" s="846">
        <v>1.53958689</v>
      </c>
      <c r="F32" s="943">
        <v>0.98572742008999803</v>
      </c>
      <c r="G32" s="737">
        <f t="shared" si="0"/>
        <v>4.4190500000000008E-2</v>
      </c>
      <c r="H32" s="1209">
        <v>11.36434946</v>
      </c>
      <c r="I32" s="497">
        <v>0.99119999999999797</v>
      </c>
      <c r="J32" s="529">
        <v>3.8243379999999903E-2</v>
      </c>
      <c r="K32" s="848">
        <v>1.8922159000000102E-2</v>
      </c>
      <c r="L32" s="1210">
        <v>1.6167999999999999E-6</v>
      </c>
      <c r="M32" s="1208">
        <v>2.9</v>
      </c>
      <c r="N32" s="1211">
        <v>15.373825345889999</v>
      </c>
      <c r="O32" s="23"/>
      <c r="P32" s="1609"/>
    </row>
    <row r="33" spans="1:16" ht="14" customHeight="1" x14ac:dyDescent="0.15">
      <c r="A33" s="1606"/>
      <c r="B33" s="1199">
        <v>3</v>
      </c>
      <c r="C33" s="1200">
        <v>1.15867E-2</v>
      </c>
      <c r="D33" s="1201">
        <v>0.38252649999999999</v>
      </c>
      <c r="E33" s="1136">
        <v>1.5402623</v>
      </c>
      <c r="F33" s="1202">
        <v>0.98650918629999795</v>
      </c>
      <c r="G33" s="737">
        <f t="shared" si="0"/>
        <v>4.4385000000000008E-2</v>
      </c>
      <c r="H33" s="1204">
        <v>11.3879822</v>
      </c>
      <c r="I33" s="1137">
        <v>0.993999999999997</v>
      </c>
      <c r="J33" s="1205">
        <v>3.8320599999999899E-2</v>
      </c>
      <c r="K33" s="1206">
        <v>1.8930630000000101E-2</v>
      </c>
      <c r="L33" s="1207">
        <v>1.6360000000000001E-6</v>
      </c>
      <c r="M33" s="1199">
        <v>3</v>
      </c>
      <c r="N33" s="101">
        <v>15.406297952299999</v>
      </c>
      <c r="O33" s="1138"/>
      <c r="P33" s="1608"/>
    </row>
    <row r="34" spans="1:16" ht="14" customHeight="1" x14ac:dyDescent="0.15">
      <c r="A34" s="1606"/>
      <c r="B34" s="1208">
        <v>3.1</v>
      </c>
      <c r="C34" s="724">
        <v>1.1600289999999999E-2</v>
      </c>
      <c r="D34" s="447">
        <v>0.38686535</v>
      </c>
      <c r="E34" s="846">
        <v>1.5409377099999999</v>
      </c>
      <c r="F34" s="536">
        <v>0.98729095250999799</v>
      </c>
      <c r="G34" s="737">
        <f t="shared" si="0"/>
        <v>4.4579500000000008E-2</v>
      </c>
      <c r="H34" s="1209">
        <v>11.41161494</v>
      </c>
      <c r="I34" s="497">
        <v>0.99679999999999702</v>
      </c>
      <c r="J34" s="529">
        <v>3.8397819999999902E-2</v>
      </c>
      <c r="K34" s="848">
        <v>1.89391010000001E-2</v>
      </c>
      <c r="L34" s="1210">
        <v>1.6552000000000001E-6</v>
      </c>
      <c r="M34" s="1208">
        <v>3.1</v>
      </c>
      <c r="N34" s="1211">
        <v>15.438770558710001</v>
      </c>
      <c r="O34" s="23"/>
      <c r="P34" s="1609"/>
    </row>
    <row r="35" spans="1:16" ht="14" customHeight="1" x14ac:dyDescent="0.15">
      <c r="A35" s="1606"/>
      <c r="B35" s="1208">
        <v>3.2</v>
      </c>
      <c r="C35" s="724">
        <v>1.161388E-2</v>
      </c>
      <c r="D35" s="447">
        <v>0.3912042</v>
      </c>
      <c r="E35" s="1136">
        <v>1.5416131200000001</v>
      </c>
      <c r="F35" s="943">
        <v>0.98807271871999802</v>
      </c>
      <c r="G35" s="737">
        <f t="shared" si="0"/>
        <v>4.4774000000000008E-2</v>
      </c>
      <c r="H35" s="1209">
        <v>11.43524768</v>
      </c>
      <c r="I35" s="1137">
        <v>0.99959999999999705</v>
      </c>
      <c r="J35" s="529">
        <v>3.8475039999999898E-2</v>
      </c>
      <c r="K35" s="848">
        <v>1.89475720000001E-2</v>
      </c>
      <c r="L35" s="1210">
        <v>1.6744E-6</v>
      </c>
      <c r="M35" s="1208">
        <v>3.2</v>
      </c>
      <c r="N35" s="1211">
        <v>15.471243165120001</v>
      </c>
      <c r="O35" s="23"/>
      <c r="P35" s="1609"/>
    </row>
    <row r="36" spans="1:16" ht="14" customHeight="1" x14ac:dyDescent="0.15">
      <c r="A36" s="1606"/>
      <c r="B36" s="1208">
        <v>3.3</v>
      </c>
      <c r="C36" s="724">
        <v>1.1627470000000001E-2</v>
      </c>
      <c r="D36" s="447">
        <v>0.39554305000000001</v>
      </c>
      <c r="E36" s="846">
        <v>1.54228853</v>
      </c>
      <c r="F36" s="943">
        <v>0.98885448492999795</v>
      </c>
      <c r="G36" s="737">
        <f t="shared" si="0"/>
        <v>4.4968500000000008E-2</v>
      </c>
      <c r="H36" s="1209">
        <v>11.45888042</v>
      </c>
      <c r="I36" s="497">
        <v>1.0024</v>
      </c>
      <c r="J36" s="529">
        <v>3.8552259999999901E-2</v>
      </c>
      <c r="K36" s="848">
        <v>1.8956043000000099E-2</v>
      </c>
      <c r="L36" s="1210">
        <v>1.6936E-6</v>
      </c>
      <c r="M36" s="1208">
        <v>3.3</v>
      </c>
      <c r="N36" s="1211">
        <v>15.50371577153</v>
      </c>
      <c r="O36" s="23"/>
      <c r="P36" s="1609"/>
    </row>
    <row r="37" spans="1:16" ht="14" customHeight="1" x14ac:dyDescent="0.15">
      <c r="A37" s="1606"/>
      <c r="B37" s="1208">
        <v>3.4</v>
      </c>
      <c r="C37" s="724">
        <v>1.164106E-2</v>
      </c>
      <c r="D37" s="447">
        <v>0.39988190000000001</v>
      </c>
      <c r="E37" s="1136">
        <v>1.5429639399999999</v>
      </c>
      <c r="F37" s="536">
        <v>0.98963625113999698</v>
      </c>
      <c r="G37" s="737">
        <f t="shared" si="0"/>
        <v>4.5163000000000009E-2</v>
      </c>
      <c r="H37" s="1209">
        <v>11.48251316</v>
      </c>
      <c r="I37" s="1137">
        <v>1.0052000000000001</v>
      </c>
      <c r="J37" s="529">
        <v>3.8629479999999897E-2</v>
      </c>
      <c r="K37" s="848">
        <v>1.8964514000000099E-2</v>
      </c>
      <c r="L37" s="1210">
        <v>1.7127999999999999E-6</v>
      </c>
      <c r="M37" s="1208">
        <v>3.4</v>
      </c>
      <c r="N37" s="1211">
        <v>15.53618837794</v>
      </c>
      <c r="O37" s="23"/>
      <c r="P37" s="1609"/>
    </row>
    <row r="38" spans="1:16" ht="14" customHeight="1" x14ac:dyDescent="0.15">
      <c r="A38" s="1606"/>
      <c r="B38" s="1208">
        <v>3.5</v>
      </c>
      <c r="C38" s="724">
        <v>1.1654650000000001E-2</v>
      </c>
      <c r="D38" s="447">
        <v>0.40422075000000002</v>
      </c>
      <c r="E38" s="846">
        <v>1.5436393500000001</v>
      </c>
      <c r="F38" s="943">
        <v>0.99041801734999702</v>
      </c>
      <c r="G38" s="737">
        <f t="shared" si="0"/>
        <v>4.5357500000000009E-2</v>
      </c>
      <c r="H38" s="1209">
        <v>11.5061459</v>
      </c>
      <c r="I38" s="497">
        <v>1.008</v>
      </c>
      <c r="J38" s="529">
        <v>3.87066999999999E-2</v>
      </c>
      <c r="K38" s="848">
        <v>1.8972985000000098E-2</v>
      </c>
      <c r="L38" s="1210">
        <v>1.7320000000000001E-6</v>
      </c>
      <c r="M38" s="1208">
        <v>3.5</v>
      </c>
      <c r="N38" s="1211">
        <v>15.56866098435</v>
      </c>
      <c r="O38" s="23"/>
      <c r="P38" s="1609"/>
    </row>
    <row r="39" spans="1:16" ht="14" customHeight="1" x14ac:dyDescent="0.15">
      <c r="A39" s="1606"/>
      <c r="B39" s="1208">
        <v>3.6</v>
      </c>
      <c r="C39" s="724">
        <v>1.166824E-2</v>
      </c>
      <c r="D39" s="447">
        <v>0.40855960000000002</v>
      </c>
      <c r="E39" s="1136">
        <v>1.54431476</v>
      </c>
      <c r="F39" s="943">
        <v>0.99119978355999705</v>
      </c>
      <c r="G39" s="737">
        <f t="shared" si="0"/>
        <v>4.5552000000000009E-2</v>
      </c>
      <c r="H39" s="1209">
        <v>11.52977864</v>
      </c>
      <c r="I39" s="1137">
        <v>1.0107999999999999</v>
      </c>
      <c r="J39" s="529">
        <v>3.8783919999999902E-2</v>
      </c>
      <c r="K39" s="848">
        <v>1.8981456000000101E-2</v>
      </c>
      <c r="L39" s="1210">
        <v>1.7512000000000001E-6</v>
      </c>
      <c r="M39" s="1208">
        <v>3.6</v>
      </c>
      <c r="N39" s="1211">
        <v>15.60113359076</v>
      </c>
      <c r="O39" s="23"/>
      <c r="P39" s="1609"/>
    </row>
    <row r="40" spans="1:16" ht="14" customHeight="1" x14ac:dyDescent="0.15">
      <c r="A40" s="1606"/>
      <c r="B40" s="1208">
        <v>3.7</v>
      </c>
      <c r="C40" s="724">
        <v>1.1681830000000001E-2</v>
      </c>
      <c r="D40" s="447">
        <v>0.41289844999999997</v>
      </c>
      <c r="E40" s="846">
        <v>1.5449901699999999</v>
      </c>
      <c r="F40" s="536">
        <v>0.99198154976999697</v>
      </c>
      <c r="G40" s="737">
        <f t="shared" si="0"/>
        <v>4.5746500000000009E-2</v>
      </c>
      <c r="H40" s="1209">
        <v>11.55341138</v>
      </c>
      <c r="I40" s="497">
        <v>1.0136000000000001</v>
      </c>
      <c r="J40" s="529">
        <v>3.8861139999999801E-2</v>
      </c>
      <c r="K40" s="848">
        <v>1.8989927000000101E-2</v>
      </c>
      <c r="L40" s="1210">
        <v>1.7704E-6</v>
      </c>
      <c r="M40" s="1208">
        <v>3.7</v>
      </c>
      <c r="N40" s="1211">
        <v>15.63360619717</v>
      </c>
      <c r="O40" s="23"/>
      <c r="P40" s="1609"/>
    </row>
    <row r="41" spans="1:16" ht="14" customHeight="1" x14ac:dyDescent="0.15">
      <c r="A41" s="1606"/>
      <c r="B41" s="1208">
        <v>3.8</v>
      </c>
      <c r="C41" s="724">
        <v>1.169542E-2</v>
      </c>
      <c r="D41" s="447">
        <v>0.41723729999999998</v>
      </c>
      <c r="E41" s="1136">
        <v>1.5456655800000001</v>
      </c>
      <c r="F41" s="943">
        <v>0.99276331597999701</v>
      </c>
      <c r="G41" s="737">
        <f t="shared" si="0"/>
        <v>4.594100000000001E-2</v>
      </c>
      <c r="H41" s="1209">
        <v>11.57704412</v>
      </c>
      <c r="I41" s="1137">
        <v>1.0164</v>
      </c>
      <c r="J41" s="529">
        <v>3.8938359999999797E-2</v>
      </c>
      <c r="K41" s="848">
        <v>1.89983980000001E-2</v>
      </c>
      <c r="L41" s="1210">
        <v>1.7896E-6</v>
      </c>
      <c r="M41" s="1208">
        <v>3.8</v>
      </c>
      <c r="N41" s="1211">
        <v>15.66607880358</v>
      </c>
      <c r="O41" s="23"/>
      <c r="P41" s="1609"/>
    </row>
    <row r="42" spans="1:16" ht="14" customHeight="1" x14ac:dyDescent="0.15">
      <c r="A42" s="1606"/>
      <c r="B42" s="1208">
        <v>3.9</v>
      </c>
      <c r="C42" s="724">
        <v>1.1709010000000001E-2</v>
      </c>
      <c r="D42" s="447">
        <v>0.42157614999999998</v>
      </c>
      <c r="E42" s="846">
        <v>1.54634099</v>
      </c>
      <c r="F42" s="943">
        <v>0.99354508218999704</v>
      </c>
      <c r="G42" s="737">
        <f t="shared" si="0"/>
        <v>4.613550000000001E-2</v>
      </c>
      <c r="H42" s="1209">
        <v>11.60067686</v>
      </c>
      <c r="I42" s="497">
        <v>1.0192000000000001</v>
      </c>
      <c r="J42" s="529">
        <v>3.90155799999998E-2</v>
      </c>
      <c r="K42" s="848">
        <v>1.90068690000001E-2</v>
      </c>
      <c r="L42" s="1210">
        <v>1.8087999999999999E-6</v>
      </c>
      <c r="M42" s="1208">
        <v>3.9</v>
      </c>
      <c r="N42" s="1211">
        <v>15.698551409989999</v>
      </c>
      <c r="O42" s="23"/>
      <c r="P42" s="1609"/>
    </row>
    <row r="43" spans="1:16" ht="14" customHeight="1" x14ac:dyDescent="0.15">
      <c r="A43" s="1606"/>
      <c r="B43" s="1199">
        <v>4</v>
      </c>
      <c r="C43" s="1200">
        <v>1.17226E-2</v>
      </c>
      <c r="D43" s="1201">
        <v>0.42591499999999999</v>
      </c>
      <c r="E43" s="1136">
        <v>1.5470164</v>
      </c>
      <c r="F43" s="1202">
        <v>0.99432684839999697</v>
      </c>
      <c r="G43" s="737">
        <f t="shared" si="0"/>
        <v>4.633000000000001E-2</v>
      </c>
      <c r="H43" s="1204">
        <v>11.6243096</v>
      </c>
      <c r="I43" s="1137">
        <v>1.022</v>
      </c>
      <c r="J43" s="1205">
        <v>3.9092799999999803E-2</v>
      </c>
      <c r="K43" s="1206">
        <v>1.9015340000000099E-2</v>
      </c>
      <c r="L43" s="1207">
        <v>1.8279999999999999E-6</v>
      </c>
      <c r="M43" s="1199">
        <v>4</v>
      </c>
      <c r="N43" s="101">
        <v>15.731024016399999</v>
      </c>
      <c r="O43" s="1138"/>
      <c r="P43" s="1608"/>
    </row>
    <row r="44" spans="1:16" ht="14" customHeight="1" x14ac:dyDescent="0.15">
      <c r="A44" s="1606"/>
      <c r="B44" s="1208">
        <v>4.0999999999999996</v>
      </c>
      <c r="C44" s="724">
        <v>1.1736190000000001E-2</v>
      </c>
      <c r="D44" s="447">
        <v>0.43025384999999999</v>
      </c>
      <c r="E44" s="846">
        <v>1.5476918099999999</v>
      </c>
      <c r="F44" s="943">
        <v>0.995108614609997</v>
      </c>
      <c r="G44" s="737">
        <f t="shared" si="0"/>
        <v>4.652450000000001E-2</v>
      </c>
      <c r="H44" s="1209">
        <v>11.64794234</v>
      </c>
      <c r="I44" s="497">
        <v>1.0247999999999999</v>
      </c>
      <c r="J44" s="529">
        <v>3.9170019999999799E-2</v>
      </c>
      <c r="K44" s="848">
        <v>1.9023811000000099E-2</v>
      </c>
      <c r="L44" s="1210">
        <v>1.8472000000000001E-6</v>
      </c>
      <c r="M44" s="1208">
        <v>4.0999999999999996</v>
      </c>
      <c r="N44" s="1211">
        <v>15.763496622810001</v>
      </c>
      <c r="O44" s="23"/>
      <c r="P44" s="1609"/>
    </row>
    <row r="45" spans="1:16" ht="14" customHeight="1" x14ac:dyDescent="0.15">
      <c r="A45" s="1606"/>
      <c r="B45" s="1208">
        <v>4.2</v>
      </c>
      <c r="C45" s="724">
        <v>1.174978E-2</v>
      </c>
      <c r="D45" s="447">
        <v>0.4345927</v>
      </c>
      <c r="E45" s="1136">
        <v>1.54836722</v>
      </c>
      <c r="F45" s="943">
        <v>0.99589038081999703</v>
      </c>
      <c r="G45" s="737">
        <f t="shared" si="0"/>
        <v>4.6719000000000011E-2</v>
      </c>
      <c r="H45" s="1209">
        <v>11.67157508</v>
      </c>
      <c r="I45" s="1137">
        <v>1.0276000000000001</v>
      </c>
      <c r="J45" s="529">
        <v>3.9247239999999801E-2</v>
      </c>
      <c r="K45" s="848">
        <v>1.9032282000000102E-2</v>
      </c>
      <c r="L45" s="1210">
        <v>1.8664E-6</v>
      </c>
      <c r="M45" s="1208">
        <v>4.2</v>
      </c>
      <c r="N45" s="1211">
        <v>15.795969229220001</v>
      </c>
      <c r="O45" s="23"/>
      <c r="P45" s="1609"/>
    </row>
    <row r="46" spans="1:16" ht="14" customHeight="1" x14ac:dyDescent="0.15">
      <c r="A46" s="1606"/>
      <c r="B46" s="1208">
        <v>4.3</v>
      </c>
      <c r="C46" s="724">
        <v>1.176337E-2</v>
      </c>
      <c r="D46" s="447">
        <v>0.43893155</v>
      </c>
      <c r="E46" s="846">
        <v>1.54904263</v>
      </c>
      <c r="F46" s="536">
        <v>0.99667214702999696</v>
      </c>
      <c r="G46" s="737">
        <f t="shared" si="0"/>
        <v>4.6913500000000011E-2</v>
      </c>
      <c r="H46" s="1209">
        <v>11.69520782</v>
      </c>
      <c r="I46" s="497">
        <v>1.0304</v>
      </c>
      <c r="J46" s="529">
        <v>3.9324459999999797E-2</v>
      </c>
      <c r="K46" s="848">
        <v>1.9040753000000101E-2</v>
      </c>
      <c r="L46" s="1210">
        <v>1.8856E-6</v>
      </c>
      <c r="M46" s="1208">
        <v>4.3</v>
      </c>
      <c r="N46" s="1211">
        <v>15.828441835630001</v>
      </c>
      <c r="O46" s="23"/>
      <c r="P46" s="1609"/>
    </row>
    <row r="47" spans="1:16" ht="14" customHeight="1" x14ac:dyDescent="0.15">
      <c r="A47" s="1606"/>
      <c r="B47" s="1208">
        <v>4.4000000000000004</v>
      </c>
      <c r="C47" s="724">
        <v>1.177696E-2</v>
      </c>
      <c r="D47" s="447">
        <v>0.44327040000000001</v>
      </c>
      <c r="E47" s="1136">
        <v>1.5497180399999999</v>
      </c>
      <c r="F47" s="943">
        <v>0.99745391323999699</v>
      </c>
      <c r="G47" s="737">
        <f t="shared" si="0"/>
        <v>4.7108000000000011E-2</v>
      </c>
      <c r="H47" s="1209">
        <v>11.71884056</v>
      </c>
      <c r="I47" s="1137">
        <v>1.0331999999999999</v>
      </c>
      <c r="J47" s="529">
        <v>3.94016799999998E-2</v>
      </c>
      <c r="K47" s="848">
        <v>1.9049224000000101E-2</v>
      </c>
      <c r="L47" s="1210">
        <v>1.9048E-6</v>
      </c>
      <c r="M47" s="1208">
        <v>4.4000000000000004</v>
      </c>
      <c r="N47" s="1211">
        <v>15.86091444204</v>
      </c>
      <c r="O47" s="23"/>
      <c r="P47" s="1609"/>
    </row>
    <row r="48" spans="1:16" ht="14" customHeight="1" x14ac:dyDescent="0.15">
      <c r="A48" s="1606"/>
      <c r="B48" s="1208">
        <v>4.5</v>
      </c>
      <c r="C48" s="724">
        <v>1.179055E-2</v>
      </c>
      <c r="D48" s="447">
        <v>0.44760925000000001</v>
      </c>
      <c r="E48" s="846">
        <v>1.5503934500000001</v>
      </c>
      <c r="F48" s="943">
        <v>0.99823567944999703</v>
      </c>
      <c r="G48" s="737">
        <f t="shared" si="0"/>
        <v>4.7302500000000011E-2</v>
      </c>
      <c r="H48" s="1209">
        <v>11.7424733</v>
      </c>
      <c r="I48" s="497">
        <v>1.036</v>
      </c>
      <c r="J48" s="529">
        <v>3.9478899999999803E-2</v>
      </c>
      <c r="K48" s="848">
        <v>1.90576950000001E-2</v>
      </c>
      <c r="L48" s="1210">
        <v>1.9240000000000001E-6</v>
      </c>
      <c r="M48" s="1208">
        <v>4.5</v>
      </c>
      <c r="N48" s="1211">
        <v>15.89338704845</v>
      </c>
      <c r="O48" s="23"/>
      <c r="P48" s="1609"/>
    </row>
    <row r="49" spans="1:16" ht="14" customHeight="1" x14ac:dyDescent="0.15">
      <c r="A49" s="1606"/>
      <c r="B49" s="1208">
        <v>4.5999999999999996</v>
      </c>
      <c r="C49" s="724">
        <v>1.1804139999999999E-2</v>
      </c>
      <c r="D49" s="447">
        <v>0.45194810000000002</v>
      </c>
      <c r="E49" s="1136">
        <v>1.55106886</v>
      </c>
      <c r="F49" s="536">
        <v>0.99901744565999695</v>
      </c>
      <c r="G49" s="737">
        <f t="shared" si="0"/>
        <v>4.7497000000000011E-2</v>
      </c>
      <c r="H49" s="1209">
        <v>11.76610604</v>
      </c>
      <c r="I49" s="1137">
        <v>1.0387999999999999</v>
      </c>
      <c r="J49" s="529">
        <v>3.9556119999999799E-2</v>
      </c>
      <c r="K49" s="848">
        <v>1.90661660000001E-2</v>
      </c>
      <c r="L49" s="1210">
        <v>1.9431999999999999E-6</v>
      </c>
      <c r="M49" s="1208">
        <v>4.5999999999999996</v>
      </c>
      <c r="N49" s="1211">
        <v>15.92585965486</v>
      </c>
      <c r="O49" s="23"/>
      <c r="P49" s="1609"/>
    </row>
    <row r="50" spans="1:16" ht="14" customHeight="1" x14ac:dyDescent="0.15">
      <c r="A50" s="1606"/>
      <c r="B50" s="1208">
        <v>4.7</v>
      </c>
      <c r="C50" s="724">
        <v>1.181773E-2</v>
      </c>
      <c r="D50" s="447">
        <v>0.45628695000000002</v>
      </c>
      <c r="E50" s="846">
        <v>1.5517442699999999</v>
      </c>
      <c r="F50" s="943">
        <v>0.99979921186999599</v>
      </c>
      <c r="G50" s="737">
        <f t="shared" si="0"/>
        <v>4.7691500000000012E-2</v>
      </c>
      <c r="H50" s="1209">
        <v>11.78973878</v>
      </c>
      <c r="I50" s="497">
        <v>1.0416000000000001</v>
      </c>
      <c r="J50" s="529">
        <v>3.9633339999999802E-2</v>
      </c>
      <c r="K50" s="848">
        <v>1.9074637000000099E-2</v>
      </c>
      <c r="L50" s="1210">
        <v>1.9624E-6</v>
      </c>
      <c r="M50" s="1208">
        <v>4.7</v>
      </c>
      <c r="N50" s="1211">
        <v>15.95833226127</v>
      </c>
      <c r="O50" s="23"/>
      <c r="P50" s="1609"/>
    </row>
    <row r="51" spans="1:16" ht="14" customHeight="1" x14ac:dyDescent="0.15">
      <c r="A51" s="1606"/>
      <c r="B51" s="1208">
        <v>4.8</v>
      </c>
      <c r="C51" s="724">
        <v>1.1831319999999999E-2</v>
      </c>
      <c r="D51" s="447">
        <v>0.46062579999999997</v>
      </c>
      <c r="E51" s="1136">
        <v>1.5524196800000001</v>
      </c>
      <c r="F51" s="943">
        <v>1.0005809780799999</v>
      </c>
      <c r="G51" s="737">
        <f t="shared" si="0"/>
        <v>4.7886000000000012E-2</v>
      </c>
      <c r="H51" s="1209">
        <v>11.81337152</v>
      </c>
      <c r="I51" s="1137">
        <v>1.0444</v>
      </c>
      <c r="J51" s="529">
        <v>3.9710559999999798E-2</v>
      </c>
      <c r="K51" s="848">
        <v>1.9083108000000099E-2</v>
      </c>
      <c r="L51" s="1210">
        <v>1.9815999999999998E-6</v>
      </c>
      <c r="M51" s="1208">
        <v>4.8</v>
      </c>
      <c r="N51" s="1211">
        <v>15.99080486768</v>
      </c>
      <c r="O51" s="23"/>
      <c r="P51" s="1609"/>
    </row>
    <row r="52" spans="1:16" ht="14" customHeight="1" x14ac:dyDescent="0.15">
      <c r="A52" s="1606"/>
      <c r="B52" s="1208">
        <v>4.9000000000000004</v>
      </c>
      <c r="C52" s="724">
        <v>1.184491E-2</v>
      </c>
      <c r="D52" s="447">
        <v>0.46496464999999998</v>
      </c>
      <c r="E52" s="846">
        <v>1.55309509</v>
      </c>
      <c r="F52" s="536">
        <v>1.0013627442899999</v>
      </c>
      <c r="G52" s="737">
        <f t="shared" si="0"/>
        <v>4.8080500000000012E-2</v>
      </c>
      <c r="H52" s="1209">
        <v>11.83700426</v>
      </c>
      <c r="I52" s="497">
        <v>1.0471999999999999</v>
      </c>
      <c r="J52" s="529">
        <v>3.9787779999999801E-2</v>
      </c>
      <c r="K52" s="848">
        <v>1.9091579000000101E-2</v>
      </c>
      <c r="L52" s="1210">
        <v>2.0008E-6</v>
      </c>
      <c r="M52" s="1208">
        <v>4.9000000000000004</v>
      </c>
      <c r="N52" s="1211">
        <v>16.023277474090001</v>
      </c>
      <c r="O52" s="23"/>
      <c r="P52" s="1609"/>
    </row>
    <row r="53" spans="1:16" ht="14" customHeight="1" x14ac:dyDescent="0.15">
      <c r="A53" s="1606"/>
      <c r="B53" s="1199">
        <v>5</v>
      </c>
      <c r="C53" s="1200">
        <v>1.1858499999999999E-2</v>
      </c>
      <c r="D53" s="1201">
        <v>0.46930349999999998</v>
      </c>
      <c r="E53" s="1136">
        <v>1.5537704999999999</v>
      </c>
      <c r="F53" s="1202">
        <v>1.0021445105</v>
      </c>
      <c r="G53" s="737">
        <f t="shared" si="0"/>
        <v>4.8275000000000012E-2</v>
      </c>
      <c r="H53" s="1204">
        <v>11.860637000000001</v>
      </c>
      <c r="I53" s="1137">
        <v>1.05</v>
      </c>
      <c r="J53" s="1205">
        <v>3.9864999999999803E-2</v>
      </c>
      <c r="K53" s="1206">
        <v>1.9100050000000101E-2</v>
      </c>
      <c r="L53" s="1207">
        <v>2.0200000000000001E-6</v>
      </c>
      <c r="M53" s="1199">
        <v>5</v>
      </c>
      <c r="N53" s="101">
        <v>16.055750080500001</v>
      </c>
      <c r="O53" s="1138"/>
      <c r="P53" s="1608"/>
    </row>
    <row r="54" spans="1:16" ht="14" customHeight="1" x14ac:dyDescent="0.15">
      <c r="A54" s="1606"/>
      <c r="B54" s="1208">
        <v>5.0999999999999996</v>
      </c>
      <c r="C54" s="724">
        <v>1.187209E-2</v>
      </c>
      <c r="D54" s="447">
        <v>0.47364234999999999</v>
      </c>
      <c r="E54" s="846">
        <v>1.5544459100000001</v>
      </c>
      <c r="F54" s="943">
        <v>1.00292627671</v>
      </c>
      <c r="G54" s="737">
        <f t="shared" si="0"/>
        <v>4.8469500000000013E-2</v>
      </c>
      <c r="H54" s="1209">
        <v>11.884269740000001</v>
      </c>
      <c r="I54" s="497">
        <v>1.0528</v>
      </c>
      <c r="J54" s="529">
        <v>3.9942219999999799E-2</v>
      </c>
      <c r="K54" s="848">
        <v>1.91085210000001E-2</v>
      </c>
      <c r="L54" s="1210">
        <v>2.0391999999999999E-6</v>
      </c>
      <c r="M54" s="1208">
        <v>5.0999999999999996</v>
      </c>
      <c r="N54" s="1211">
        <v>16.088222686910001</v>
      </c>
      <c r="O54" s="23"/>
      <c r="P54" s="1609"/>
    </row>
    <row r="55" spans="1:16" ht="14" customHeight="1" x14ac:dyDescent="0.15">
      <c r="A55" s="1606"/>
      <c r="B55" s="1208">
        <v>5.2</v>
      </c>
      <c r="C55" s="724">
        <v>1.1885679999999999E-2</v>
      </c>
      <c r="D55" s="447">
        <v>0.47798119999999999</v>
      </c>
      <c r="E55" s="1136">
        <v>1.55512132</v>
      </c>
      <c r="F55" s="536">
        <v>1.00370804292</v>
      </c>
      <c r="G55" s="737">
        <f t="shared" si="0"/>
        <v>4.8664000000000013E-2</v>
      </c>
      <c r="H55" s="1209">
        <v>11.907902480000001</v>
      </c>
      <c r="I55" s="1137">
        <v>1.0556000000000001</v>
      </c>
      <c r="J55" s="529">
        <v>4.0019439999999802E-2</v>
      </c>
      <c r="K55" s="848">
        <v>1.9116992000000201E-2</v>
      </c>
      <c r="L55" s="1210">
        <v>2.0584000000000001E-6</v>
      </c>
      <c r="M55" s="1208">
        <v>5.2</v>
      </c>
      <c r="N55" s="1211">
        <v>16.120695293320001</v>
      </c>
      <c r="O55" s="23"/>
      <c r="P55" s="1609"/>
    </row>
    <row r="56" spans="1:16" ht="14" customHeight="1" x14ac:dyDescent="0.15">
      <c r="A56" s="1606"/>
      <c r="B56" s="1208">
        <v>5.3</v>
      </c>
      <c r="C56" s="724">
        <v>1.189927E-2</v>
      </c>
      <c r="D56" s="447">
        <v>0.48232005</v>
      </c>
      <c r="E56" s="846">
        <v>1.55579673</v>
      </c>
      <c r="F56" s="943">
        <v>1.0044898091300001</v>
      </c>
      <c r="G56" s="737">
        <f t="shared" si="0"/>
        <v>4.8858500000000013E-2</v>
      </c>
      <c r="H56" s="1209">
        <v>11.931535220000001</v>
      </c>
      <c r="I56" s="497">
        <v>1.0584</v>
      </c>
      <c r="J56" s="529">
        <v>4.0096659999999798E-2</v>
      </c>
      <c r="K56" s="848">
        <v>1.91254630000002E-2</v>
      </c>
      <c r="L56" s="1210">
        <v>2.0775999999999998E-6</v>
      </c>
      <c r="M56" s="1208">
        <v>5.3</v>
      </c>
      <c r="N56" s="1211">
        <v>16.153167899730001</v>
      </c>
      <c r="O56" s="23"/>
      <c r="P56" s="1609"/>
    </row>
    <row r="57" spans="1:16" ht="14" customHeight="1" x14ac:dyDescent="0.15">
      <c r="A57" s="1606"/>
      <c r="B57" s="1208">
        <v>5.4</v>
      </c>
      <c r="C57" s="724">
        <v>1.1912860000000001E-2</v>
      </c>
      <c r="D57" s="447">
        <v>0.48665890000000001</v>
      </c>
      <c r="E57" s="1136">
        <v>1.5564721399999999</v>
      </c>
      <c r="F57" s="943">
        <v>1.0052715753399999</v>
      </c>
      <c r="G57" s="737">
        <f t="shared" si="0"/>
        <v>4.9053000000000013E-2</v>
      </c>
      <c r="H57" s="1209">
        <v>11.955167960000001</v>
      </c>
      <c r="I57" s="1137">
        <v>1.0611999999999999</v>
      </c>
      <c r="J57" s="529">
        <v>4.0173879999999801E-2</v>
      </c>
      <c r="K57" s="848">
        <v>1.91339340000002E-2</v>
      </c>
      <c r="L57" s="1210">
        <v>2.0968E-6</v>
      </c>
      <c r="M57" s="1208">
        <v>5.4</v>
      </c>
      <c r="N57" s="1211">
        <v>16.18564050614</v>
      </c>
      <c r="O57" s="23"/>
      <c r="P57" s="1609"/>
    </row>
    <row r="58" spans="1:16" ht="14" customHeight="1" x14ac:dyDescent="0.15">
      <c r="A58" s="1606"/>
      <c r="B58" s="1208">
        <v>5.5</v>
      </c>
      <c r="C58" s="724">
        <v>1.192645E-2</v>
      </c>
      <c r="D58" s="447">
        <v>0.49099775000000001</v>
      </c>
      <c r="E58" s="846">
        <v>1.55714755</v>
      </c>
      <c r="F58" s="536">
        <v>1.0060533415499999</v>
      </c>
      <c r="G58" s="737">
        <f t="shared" si="0"/>
        <v>4.9247500000000013E-2</v>
      </c>
      <c r="H58" s="1209">
        <v>11.978800700000001</v>
      </c>
      <c r="I58" s="497">
        <v>1.0640000000000001</v>
      </c>
      <c r="J58" s="529">
        <v>4.0251099999999797E-2</v>
      </c>
      <c r="K58" s="848">
        <v>1.9142405000000199E-2</v>
      </c>
      <c r="L58" s="1210">
        <v>2.1160000000000002E-6</v>
      </c>
      <c r="M58" s="1208">
        <v>5.5</v>
      </c>
      <c r="N58" s="1211">
        <v>16.21811311255</v>
      </c>
      <c r="O58" s="23"/>
      <c r="P58" s="1609"/>
    </row>
    <row r="59" spans="1:16" ht="14" customHeight="1" x14ac:dyDescent="0.15">
      <c r="A59" s="1606"/>
      <c r="B59" s="1208">
        <v>5.6</v>
      </c>
      <c r="C59" s="724">
        <v>1.1940040000000001E-2</v>
      </c>
      <c r="D59" s="447">
        <v>0.49533660000000002</v>
      </c>
      <c r="E59" s="1136">
        <v>1.55782296</v>
      </c>
      <c r="F59" s="943">
        <v>1.00683510776</v>
      </c>
      <c r="G59" s="737">
        <f t="shared" si="0"/>
        <v>4.9442000000000014E-2</v>
      </c>
      <c r="H59" s="1209">
        <v>12.002433440000001</v>
      </c>
      <c r="I59" s="1137">
        <v>1.0668</v>
      </c>
      <c r="J59" s="529">
        <v>4.03283199999998E-2</v>
      </c>
      <c r="K59" s="848">
        <v>1.9150876000000198E-2</v>
      </c>
      <c r="L59" s="1210">
        <v>2.1351999999999999E-6</v>
      </c>
      <c r="M59" s="1208">
        <v>5.6</v>
      </c>
      <c r="N59" s="1211">
        <v>16.25058571896</v>
      </c>
      <c r="O59" s="23"/>
      <c r="P59" s="1609"/>
    </row>
    <row r="60" spans="1:16" ht="14" customHeight="1" x14ac:dyDescent="0.15">
      <c r="A60" s="1606"/>
      <c r="B60" s="1208">
        <v>5.7</v>
      </c>
      <c r="C60" s="724">
        <v>1.195363E-2</v>
      </c>
      <c r="D60" s="447">
        <v>0.49967545000000002</v>
      </c>
      <c r="E60" s="846">
        <v>1.5584983699999999</v>
      </c>
      <c r="F60" s="943">
        <v>1.00761687397</v>
      </c>
      <c r="G60" s="737">
        <f t="shared" si="0"/>
        <v>4.9636500000000014E-2</v>
      </c>
      <c r="H60" s="1209">
        <v>12.026066180000001</v>
      </c>
      <c r="I60" s="497">
        <v>1.0695999999999899</v>
      </c>
      <c r="J60" s="529">
        <v>4.0405539999999802E-2</v>
      </c>
      <c r="K60" s="848">
        <v>1.9159347000000201E-2</v>
      </c>
      <c r="L60" s="1210">
        <v>2.1544000000000001E-6</v>
      </c>
      <c r="M60" s="1208">
        <v>5.7</v>
      </c>
      <c r="N60" s="1211">
        <v>16.28305832537</v>
      </c>
      <c r="O60" s="23"/>
      <c r="P60" s="1609"/>
    </row>
    <row r="61" spans="1:16" ht="14" customHeight="1" x14ac:dyDescent="0.15">
      <c r="A61" s="1606"/>
      <c r="B61" s="1208">
        <v>5.8</v>
      </c>
      <c r="C61" s="724">
        <v>1.1967220000000001E-2</v>
      </c>
      <c r="D61" s="447">
        <v>0.50401430000000003</v>
      </c>
      <c r="E61" s="1136">
        <v>1.5591737800000001</v>
      </c>
      <c r="F61" s="536">
        <v>1.00839864018</v>
      </c>
      <c r="G61" s="737">
        <f t="shared" si="0"/>
        <v>4.9831000000000014E-2</v>
      </c>
      <c r="H61" s="1209">
        <v>12.049698920000001</v>
      </c>
      <c r="I61" s="1137">
        <v>1.0724</v>
      </c>
      <c r="J61" s="529">
        <v>4.0482759999999798E-2</v>
      </c>
      <c r="K61" s="848">
        <v>1.9167818000000201E-2</v>
      </c>
      <c r="L61" s="1210">
        <v>2.1735999999999998E-6</v>
      </c>
      <c r="M61" s="1208">
        <v>5.8</v>
      </c>
      <c r="N61" s="1211">
        <v>16.31553093178</v>
      </c>
      <c r="O61" s="23"/>
      <c r="P61" s="1609"/>
    </row>
    <row r="62" spans="1:16" ht="14" customHeight="1" x14ac:dyDescent="0.15">
      <c r="A62" s="1606"/>
      <c r="B62" s="1208">
        <v>5.9</v>
      </c>
      <c r="C62" s="724">
        <v>1.198081E-2</v>
      </c>
      <c r="D62" s="447">
        <v>0.50835315000000003</v>
      </c>
      <c r="E62" s="846">
        <v>1.55984919</v>
      </c>
      <c r="F62" s="943">
        <v>1.0091804063900001</v>
      </c>
      <c r="G62" s="737">
        <f t="shared" si="0"/>
        <v>5.0025500000000014E-2</v>
      </c>
      <c r="H62" s="1209">
        <v>12.073331659999999</v>
      </c>
      <c r="I62" s="497">
        <v>1.0751999999999899</v>
      </c>
      <c r="J62" s="529">
        <v>4.0559979999999801E-2</v>
      </c>
      <c r="K62" s="848">
        <v>1.91762890000002E-2</v>
      </c>
      <c r="L62" s="1210">
        <v>2.1928E-6</v>
      </c>
      <c r="M62" s="1208">
        <v>5.9</v>
      </c>
      <c r="N62" s="1211">
        <v>16.34800353819</v>
      </c>
      <c r="O62" s="23"/>
      <c r="P62" s="1609"/>
    </row>
    <row r="63" spans="1:16" ht="14" customHeight="1" x14ac:dyDescent="0.15">
      <c r="A63" s="1606"/>
      <c r="B63" s="1199">
        <v>6</v>
      </c>
      <c r="C63" s="1200">
        <v>1.1994400000000001E-2</v>
      </c>
      <c r="D63" s="1201">
        <v>0.51269200000000004</v>
      </c>
      <c r="E63" s="1136">
        <v>1.5605245999999999</v>
      </c>
      <c r="F63" s="1202">
        <v>1.0099621726000001</v>
      </c>
      <c r="G63" s="737">
        <f t="shared" si="0"/>
        <v>5.0220000000000015E-2</v>
      </c>
      <c r="H63" s="1204">
        <v>12.096964399999999</v>
      </c>
      <c r="I63" s="1137">
        <v>1.0779999999999901</v>
      </c>
      <c r="J63" s="1205">
        <v>4.0637199999999797E-2</v>
      </c>
      <c r="K63" s="1206">
        <v>1.91847600000002E-2</v>
      </c>
      <c r="L63" s="1207">
        <v>2.2120000000000002E-6</v>
      </c>
      <c r="M63" s="1199">
        <v>6</v>
      </c>
      <c r="N63" s="101">
        <v>16.380476144599999</v>
      </c>
      <c r="O63" s="1138"/>
      <c r="P63" s="1608"/>
    </row>
    <row r="64" spans="1:16" ht="14" customHeight="1" x14ac:dyDescent="0.15">
      <c r="A64" s="1606"/>
      <c r="B64" s="1208">
        <v>6.1</v>
      </c>
      <c r="C64" s="724">
        <v>1.200799E-2</v>
      </c>
      <c r="D64" s="447">
        <v>0.51703085000000004</v>
      </c>
      <c r="E64" s="846">
        <v>1.5612000100000001</v>
      </c>
      <c r="F64" s="536">
        <v>1.0107439388099999</v>
      </c>
      <c r="G64" s="737">
        <f t="shared" si="0"/>
        <v>5.0414500000000015E-2</v>
      </c>
      <c r="H64" s="1209">
        <v>12.120597139999999</v>
      </c>
      <c r="I64" s="497">
        <v>1.08079999999999</v>
      </c>
      <c r="J64" s="529">
        <v>4.07144199999998E-2</v>
      </c>
      <c r="K64" s="848">
        <v>1.9193231000000199E-2</v>
      </c>
      <c r="L64" s="1210">
        <v>2.2311999999999999E-6</v>
      </c>
      <c r="M64" s="1208">
        <v>6.1</v>
      </c>
      <c r="N64" s="1211">
        <v>16.412948751009999</v>
      </c>
      <c r="O64" s="23"/>
      <c r="P64" s="1609"/>
    </row>
    <row r="65" spans="1:16" ht="14" customHeight="1" x14ac:dyDescent="0.15">
      <c r="A65" s="1606"/>
      <c r="B65" s="1208">
        <v>6.2</v>
      </c>
      <c r="C65" s="724">
        <v>1.2021580000000099E-2</v>
      </c>
      <c r="D65" s="447">
        <v>0.52136970000000005</v>
      </c>
      <c r="E65" s="1136">
        <v>1.56187542</v>
      </c>
      <c r="F65" s="943">
        <v>1.0115257050199999</v>
      </c>
      <c r="G65" s="737">
        <f t="shared" si="0"/>
        <v>5.0609000000000015E-2</v>
      </c>
      <c r="H65" s="1209">
        <v>12.144229879999999</v>
      </c>
      <c r="I65" s="1137">
        <v>1.0835999999999899</v>
      </c>
      <c r="J65" s="529">
        <v>4.0791639999999699E-2</v>
      </c>
      <c r="K65" s="848">
        <v>1.9201702000000199E-2</v>
      </c>
      <c r="L65" s="1210">
        <v>2.2504000000000001E-6</v>
      </c>
      <c r="M65" s="1208">
        <v>6.2</v>
      </c>
      <c r="N65" s="1211">
        <v>16.445421357419999</v>
      </c>
      <c r="O65" s="23"/>
      <c r="P65" s="1609"/>
    </row>
    <row r="66" spans="1:16" ht="14" customHeight="1" x14ac:dyDescent="0.15">
      <c r="A66" s="1606"/>
      <c r="B66" s="1208">
        <v>6.3</v>
      </c>
      <c r="C66" s="724">
        <v>1.20351700000001E-2</v>
      </c>
      <c r="D66" s="447">
        <v>0.52570855000000005</v>
      </c>
      <c r="E66" s="846">
        <v>1.5625508299999999</v>
      </c>
      <c r="F66" s="943">
        <v>1.01230747123</v>
      </c>
      <c r="G66" s="737">
        <f t="shared" si="0"/>
        <v>5.0803500000000015E-2</v>
      </c>
      <c r="H66" s="1209">
        <v>12.167862619999999</v>
      </c>
      <c r="I66" s="497">
        <v>1.08639999999999</v>
      </c>
      <c r="J66" s="529">
        <v>4.0868859999999702E-2</v>
      </c>
      <c r="K66" s="848">
        <v>1.9210173000000198E-2</v>
      </c>
      <c r="L66" s="1210">
        <v>2.2695999999999998E-6</v>
      </c>
      <c r="M66" s="1208">
        <v>6.3</v>
      </c>
      <c r="N66" s="1211">
        <v>16.477893963829999</v>
      </c>
      <c r="O66" s="23"/>
      <c r="P66" s="1609"/>
    </row>
    <row r="67" spans="1:16" ht="14" customHeight="1" x14ac:dyDescent="0.15">
      <c r="A67" s="1606"/>
      <c r="B67" s="1208">
        <v>6.4</v>
      </c>
      <c r="C67" s="724">
        <v>1.2048760000000099E-2</v>
      </c>
      <c r="D67" s="447">
        <v>0.53004739999999995</v>
      </c>
      <c r="E67" s="1136">
        <v>1.5632262400000001</v>
      </c>
      <c r="F67" s="536">
        <v>1.01308923744</v>
      </c>
      <c r="G67" s="737">
        <f t="shared" si="0"/>
        <v>5.0998000000000016E-2</v>
      </c>
      <c r="H67" s="1209">
        <v>12.191495359999999</v>
      </c>
      <c r="I67" s="1137">
        <v>1.08919999999999</v>
      </c>
      <c r="J67" s="529">
        <v>4.0946079999999697E-2</v>
      </c>
      <c r="K67" s="848">
        <v>1.9218644000000201E-2</v>
      </c>
      <c r="L67" s="1210">
        <v>2.2888E-6</v>
      </c>
      <c r="M67" s="1208">
        <v>6.4</v>
      </c>
      <c r="N67" s="1211">
        <v>16.510366570239999</v>
      </c>
      <c r="O67" s="23"/>
      <c r="P67" s="1609"/>
    </row>
    <row r="68" spans="1:16" ht="14" customHeight="1" x14ac:dyDescent="0.15">
      <c r="A68" s="1606"/>
      <c r="B68" s="1208">
        <v>6.5</v>
      </c>
      <c r="C68" s="724">
        <v>1.20623500000001E-2</v>
      </c>
      <c r="D68" s="447">
        <v>0.53438624999999995</v>
      </c>
      <c r="E68" s="846">
        <v>1.56390165</v>
      </c>
      <c r="F68" s="943">
        <v>1.01387100365</v>
      </c>
      <c r="G68" s="737">
        <f t="shared" si="0"/>
        <v>5.1192500000000016E-2</v>
      </c>
      <c r="H68" s="1209">
        <v>12.215128099999999</v>
      </c>
      <c r="I68" s="497">
        <v>1.0919999999999901</v>
      </c>
      <c r="J68" s="529">
        <v>4.10232999999997E-2</v>
      </c>
      <c r="K68" s="848">
        <v>1.9227115000000201E-2</v>
      </c>
      <c r="L68" s="1210">
        <v>2.3080000000000002E-6</v>
      </c>
      <c r="M68" s="1208">
        <v>6.5</v>
      </c>
      <c r="N68" s="1211">
        <v>16.542839176649998</v>
      </c>
      <c r="O68" s="23"/>
      <c r="P68" s="1609"/>
    </row>
    <row r="69" spans="1:16" ht="14" customHeight="1" x14ac:dyDescent="0.15">
      <c r="A69" s="1606"/>
      <c r="B69" s="1208">
        <v>6.6</v>
      </c>
      <c r="C69" s="724">
        <v>1.2075940000000099E-2</v>
      </c>
      <c r="D69" s="447">
        <v>0.53872509999999996</v>
      </c>
      <c r="E69" s="1136">
        <v>1.56457706</v>
      </c>
      <c r="F69" s="943">
        <v>1.0146527698600001</v>
      </c>
      <c r="G69" s="737">
        <f t="shared" si="0"/>
        <v>5.1387000000000016E-2</v>
      </c>
      <c r="H69" s="1209">
        <v>12.238760839999999</v>
      </c>
      <c r="I69" s="1137">
        <v>1.09479999999999</v>
      </c>
      <c r="J69" s="529">
        <v>4.1100519999999703E-2</v>
      </c>
      <c r="K69" s="848">
        <v>1.92355860000002E-2</v>
      </c>
      <c r="L69" s="1210">
        <v>2.3271999999999999E-6</v>
      </c>
      <c r="M69" s="1208">
        <v>6.6</v>
      </c>
      <c r="N69" s="1211">
        <v>16.575311783059998</v>
      </c>
      <c r="O69" s="23"/>
      <c r="P69" s="1609"/>
    </row>
    <row r="70" spans="1:16" ht="14" customHeight="1" x14ac:dyDescent="0.15">
      <c r="A70" s="1606"/>
      <c r="B70" s="1208">
        <v>6.7</v>
      </c>
      <c r="C70" s="724">
        <v>1.20895300000001E-2</v>
      </c>
      <c r="D70" s="447">
        <v>0.54306394999999996</v>
      </c>
      <c r="E70" s="846">
        <v>1.5652524699999999</v>
      </c>
      <c r="F70" s="536">
        <v>1.0154345360699999</v>
      </c>
      <c r="G70" s="737">
        <f t="shared" ref="G70:G103" si="1">G69+0.0001945</f>
        <v>5.1581500000000016E-2</v>
      </c>
      <c r="H70" s="1209">
        <v>12.262393579999999</v>
      </c>
      <c r="I70" s="497">
        <v>1.0975999999999899</v>
      </c>
      <c r="J70" s="529">
        <v>4.1177739999999699E-2</v>
      </c>
      <c r="K70" s="848">
        <v>1.92440570000002E-2</v>
      </c>
      <c r="L70" s="1210">
        <v>2.3464000000000001E-6</v>
      </c>
      <c r="M70" s="1208">
        <v>6.7</v>
      </c>
      <c r="N70" s="1211">
        <v>16.607784389470002</v>
      </c>
      <c r="O70" s="23"/>
      <c r="P70" s="1609"/>
    </row>
    <row r="71" spans="1:16" ht="14" customHeight="1" x14ac:dyDescent="0.15">
      <c r="A71" s="1606"/>
      <c r="B71" s="1208">
        <v>6.8</v>
      </c>
      <c r="C71" s="724">
        <v>1.2103120000000101E-2</v>
      </c>
      <c r="D71" s="447">
        <v>0.54740279999999997</v>
      </c>
      <c r="E71" s="1136">
        <v>1.56592788</v>
      </c>
      <c r="F71" s="943">
        <v>1.0162163022799899</v>
      </c>
      <c r="G71" s="737">
        <f t="shared" si="1"/>
        <v>5.1776000000000016E-2</v>
      </c>
      <c r="H71" s="1209">
        <v>12.28602632</v>
      </c>
      <c r="I71" s="1137">
        <v>1.1003999999999901</v>
      </c>
      <c r="J71" s="529">
        <v>4.1254959999999702E-2</v>
      </c>
      <c r="K71" s="848">
        <v>1.9252528000000199E-2</v>
      </c>
      <c r="L71" s="1210">
        <v>2.3655999999999998E-6</v>
      </c>
      <c r="M71" s="1208">
        <v>6.8</v>
      </c>
      <c r="N71" s="1211">
        <v>16.640256995880002</v>
      </c>
      <c r="O71" s="23"/>
      <c r="P71" s="1609"/>
    </row>
    <row r="72" spans="1:16" ht="14" customHeight="1" x14ac:dyDescent="0.15">
      <c r="A72" s="1606"/>
      <c r="B72" s="1208">
        <v>6.9</v>
      </c>
      <c r="C72" s="724">
        <v>1.21167100000001E-2</v>
      </c>
      <c r="D72" s="447">
        <v>0.55174164999999997</v>
      </c>
      <c r="E72" s="846">
        <v>1.56660329</v>
      </c>
      <c r="F72" s="943">
        <v>1.01699806848999</v>
      </c>
      <c r="G72" s="737">
        <f t="shared" si="1"/>
        <v>5.1970500000000017E-2</v>
      </c>
      <c r="H72" s="1209">
        <v>12.30965906</v>
      </c>
      <c r="I72" s="497">
        <v>1.10319999999999</v>
      </c>
      <c r="J72" s="529">
        <v>4.1332179999999698E-2</v>
      </c>
      <c r="K72" s="848">
        <v>1.9260999000000199E-2</v>
      </c>
      <c r="L72" s="1210">
        <v>2.3848E-6</v>
      </c>
      <c r="M72" s="1208">
        <v>6.9</v>
      </c>
      <c r="N72" s="1211">
        <v>16.672729602290001</v>
      </c>
      <c r="O72" s="23"/>
      <c r="P72" s="1609"/>
    </row>
    <row r="73" spans="1:16" ht="14" customHeight="1" x14ac:dyDescent="0.15">
      <c r="A73" s="1606"/>
      <c r="B73" s="1199">
        <v>7</v>
      </c>
      <c r="C73" s="1200">
        <v>1.2130300000000101E-2</v>
      </c>
      <c r="D73" s="1201">
        <v>0.55608049999999998</v>
      </c>
      <c r="E73" s="1136">
        <v>1.5672786999999999</v>
      </c>
      <c r="F73" s="1202">
        <v>1.01777983469999</v>
      </c>
      <c r="G73" s="737">
        <f t="shared" si="1"/>
        <v>5.2165000000000017E-2</v>
      </c>
      <c r="H73" s="1204">
        <v>12.3332918</v>
      </c>
      <c r="I73" s="1137">
        <v>1.1059999999999901</v>
      </c>
      <c r="J73" s="1205">
        <v>4.1409399999999701E-2</v>
      </c>
      <c r="K73" s="1206">
        <v>1.9269470000000202E-2</v>
      </c>
      <c r="L73" s="1207">
        <v>2.4040000000000002E-6</v>
      </c>
      <c r="M73" s="1199">
        <v>7</v>
      </c>
      <c r="N73" s="101">
        <v>16.705202208700001</v>
      </c>
      <c r="O73" s="1138"/>
      <c r="P73" s="1608"/>
    </row>
    <row r="74" spans="1:16" ht="14" customHeight="1" x14ac:dyDescent="0.15">
      <c r="A74" s="1606"/>
      <c r="B74" s="1208">
        <v>7.1</v>
      </c>
      <c r="C74" s="724">
        <v>1.21438900000001E-2</v>
      </c>
      <c r="D74" s="447">
        <v>0.56041934999999998</v>
      </c>
      <c r="E74" s="846">
        <v>1.5679541100000001</v>
      </c>
      <c r="F74" s="943">
        <v>1.01856160090999</v>
      </c>
      <c r="G74" s="737">
        <f t="shared" si="1"/>
        <v>5.2359500000000017E-2</v>
      </c>
      <c r="H74" s="1209">
        <v>12.35692454</v>
      </c>
      <c r="I74" s="497">
        <v>1.10879999999999</v>
      </c>
      <c r="J74" s="529">
        <v>4.1486619999999703E-2</v>
      </c>
      <c r="K74" s="848">
        <v>1.9277941000000201E-2</v>
      </c>
      <c r="L74" s="1210">
        <v>2.4231999999999999E-6</v>
      </c>
      <c r="M74" s="1208">
        <v>7.1</v>
      </c>
      <c r="N74" s="1211">
        <v>16.737674815110001</v>
      </c>
      <c r="O74" s="23"/>
      <c r="P74" s="1609"/>
    </row>
    <row r="75" spans="1:16" ht="14" customHeight="1" x14ac:dyDescent="0.15">
      <c r="A75" s="1606"/>
      <c r="B75" s="1208">
        <v>7.2</v>
      </c>
      <c r="C75" s="724">
        <v>1.2157480000000101E-2</v>
      </c>
      <c r="D75" s="447">
        <v>0.56475819999999999</v>
      </c>
      <c r="E75" s="1136">
        <v>1.56862952</v>
      </c>
      <c r="F75" s="943">
        <v>1.0193433671199901</v>
      </c>
      <c r="G75" s="737">
        <f t="shared" si="1"/>
        <v>5.2554000000000017E-2</v>
      </c>
      <c r="H75" s="1209">
        <v>12.38055728</v>
      </c>
      <c r="I75" s="1137">
        <v>1.1115999999999899</v>
      </c>
      <c r="J75" s="529">
        <v>4.1563839999999699E-2</v>
      </c>
      <c r="K75" s="848">
        <v>1.9286412000000201E-2</v>
      </c>
      <c r="L75" s="1210">
        <v>2.4424000000000001E-6</v>
      </c>
      <c r="M75" s="1208">
        <v>7.2</v>
      </c>
      <c r="N75" s="1211">
        <v>16.770147421520001</v>
      </c>
      <c r="O75" s="23"/>
      <c r="P75" s="1609"/>
    </row>
    <row r="76" spans="1:16" ht="14" customHeight="1" x14ac:dyDescent="0.15">
      <c r="A76" s="1606"/>
      <c r="B76" s="1208">
        <v>7.3</v>
      </c>
      <c r="C76" s="724">
        <v>1.21710700000001E-2</v>
      </c>
      <c r="D76" s="447">
        <v>0.56909704999999999</v>
      </c>
      <c r="E76" s="846">
        <v>1.5693049299999999</v>
      </c>
      <c r="F76" s="536">
        <v>1.0201251333299901</v>
      </c>
      <c r="G76" s="737">
        <f t="shared" si="1"/>
        <v>5.2748500000000018E-2</v>
      </c>
      <c r="H76" s="1209">
        <v>12.40419002</v>
      </c>
      <c r="I76" s="497">
        <v>1.1143999999999901</v>
      </c>
      <c r="J76" s="529">
        <v>4.1641059999999702E-2</v>
      </c>
      <c r="K76" s="848">
        <v>1.92948830000002E-2</v>
      </c>
      <c r="L76" s="1210">
        <v>2.4615999999999999E-6</v>
      </c>
      <c r="M76" s="1208">
        <v>7.3</v>
      </c>
      <c r="N76" s="1211">
        <v>16.802620027930001</v>
      </c>
      <c r="O76" s="23"/>
      <c r="P76" s="1609"/>
    </row>
    <row r="77" spans="1:16" ht="14" customHeight="1" x14ac:dyDescent="0.15">
      <c r="A77" s="1606"/>
      <c r="B77" s="1208">
        <v>7.4</v>
      </c>
      <c r="C77" s="724">
        <v>1.2184660000000101E-2</v>
      </c>
      <c r="D77" s="447">
        <v>0.5734359</v>
      </c>
      <c r="E77" s="1136">
        <v>1.5699803399999901</v>
      </c>
      <c r="F77" s="943">
        <v>1.0209068995399899</v>
      </c>
      <c r="G77" s="737">
        <f t="shared" si="1"/>
        <v>5.2943000000000018E-2</v>
      </c>
      <c r="H77" s="1209">
        <v>12.42782276</v>
      </c>
      <c r="I77" s="1137">
        <v>1.11719999999999</v>
      </c>
      <c r="J77" s="529">
        <v>4.1718279999999698E-2</v>
      </c>
      <c r="K77" s="848">
        <v>1.9303354000000199E-2</v>
      </c>
      <c r="L77" s="1210">
        <v>2.4808E-6</v>
      </c>
      <c r="M77" s="1208">
        <v>7.4</v>
      </c>
      <c r="N77" s="1211">
        <v>16.83509263434</v>
      </c>
      <c r="O77" s="23"/>
      <c r="P77" s="1609"/>
    </row>
    <row r="78" spans="1:16" ht="14" customHeight="1" x14ac:dyDescent="0.15">
      <c r="A78" s="1606"/>
      <c r="B78" s="1208">
        <v>7.5</v>
      </c>
      <c r="C78" s="724">
        <v>1.21982500000001E-2</v>
      </c>
      <c r="D78" s="447">
        <v>0.57777475</v>
      </c>
      <c r="E78" s="846">
        <v>1.57065574999999</v>
      </c>
      <c r="F78" s="943">
        <v>1.02168866574999</v>
      </c>
      <c r="G78" s="737">
        <f t="shared" si="1"/>
        <v>5.3137500000000018E-2</v>
      </c>
      <c r="H78" s="1209">
        <v>12.4514555</v>
      </c>
      <c r="I78" s="497">
        <v>1.1199999999999899</v>
      </c>
      <c r="J78" s="529">
        <v>4.1795499999999701E-2</v>
      </c>
      <c r="K78" s="848">
        <v>1.9311825000000199E-2</v>
      </c>
      <c r="L78" s="1210">
        <v>2.5000000000000002E-6</v>
      </c>
      <c r="M78" s="1208">
        <v>7.5</v>
      </c>
      <c r="N78" s="1211">
        <v>16.86756524075</v>
      </c>
      <c r="O78" s="23"/>
      <c r="P78" s="1609"/>
    </row>
    <row r="79" spans="1:16" ht="14" customHeight="1" x14ac:dyDescent="0.15">
      <c r="A79" s="1606"/>
      <c r="B79" s="1208">
        <v>7.6</v>
      </c>
      <c r="C79" s="724">
        <v>1.22118400000001E-2</v>
      </c>
      <c r="D79" s="447">
        <v>0.58211360000000001</v>
      </c>
      <c r="E79" s="1136">
        <v>1.57133115999999</v>
      </c>
      <c r="F79" s="536">
        <v>1.02247043195999</v>
      </c>
      <c r="G79" s="737">
        <f t="shared" si="1"/>
        <v>5.3332000000000018E-2</v>
      </c>
      <c r="H79" s="1209">
        <v>12.47508824</v>
      </c>
      <c r="I79" s="1137">
        <v>1.12279999999999</v>
      </c>
      <c r="J79" s="529">
        <v>4.1872719999999697E-2</v>
      </c>
      <c r="K79" s="848">
        <v>1.9320296000000198E-2</v>
      </c>
      <c r="L79" s="1210">
        <v>2.5192E-6</v>
      </c>
      <c r="M79" s="1208">
        <v>7.6</v>
      </c>
      <c r="N79" s="1211">
        <v>16.90003784716</v>
      </c>
      <c r="O79" s="23"/>
      <c r="P79" s="1609"/>
    </row>
    <row r="80" spans="1:16" ht="14" customHeight="1" x14ac:dyDescent="0.15">
      <c r="A80" s="1606"/>
      <c r="B80" s="1208">
        <v>7.7</v>
      </c>
      <c r="C80" s="724">
        <v>1.22254300000001E-2</v>
      </c>
      <c r="D80" s="447">
        <v>0.58645245000000001</v>
      </c>
      <c r="E80" s="846">
        <v>1.5720065699999901</v>
      </c>
      <c r="F80" s="943">
        <v>1.02325219816999</v>
      </c>
      <c r="G80" s="737">
        <f t="shared" si="1"/>
        <v>5.3526500000000019E-2</v>
      </c>
      <c r="H80" s="1209">
        <v>12.49872098</v>
      </c>
      <c r="I80" s="497">
        <v>1.1255999999999899</v>
      </c>
      <c r="J80" s="529">
        <v>4.19499399999997E-2</v>
      </c>
      <c r="K80" s="848">
        <v>1.9328767000000201E-2</v>
      </c>
      <c r="L80" s="1210">
        <v>2.5384000000000001E-6</v>
      </c>
      <c r="M80" s="1208">
        <v>7.7</v>
      </c>
      <c r="N80" s="1211">
        <v>16.93251045357</v>
      </c>
      <c r="O80" s="23"/>
      <c r="P80" s="1609"/>
    </row>
    <row r="81" spans="1:16" ht="14" customHeight="1" x14ac:dyDescent="0.15">
      <c r="A81" s="1606"/>
      <c r="B81" s="1208">
        <v>7.8</v>
      </c>
      <c r="C81" s="724">
        <v>1.22390200000001E-2</v>
      </c>
      <c r="D81" s="447">
        <v>0.59079130000000002</v>
      </c>
      <c r="E81" s="1136">
        <v>1.57268197999999</v>
      </c>
      <c r="F81" s="943">
        <v>1.0240339643799901</v>
      </c>
      <c r="G81" s="737">
        <f t="shared" si="1"/>
        <v>5.3721000000000019E-2</v>
      </c>
      <c r="H81" s="1209">
        <v>12.52235372</v>
      </c>
      <c r="I81" s="1137">
        <v>1.1283999999999901</v>
      </c>
      <c r="J81" s="529">
        <v>4.2027159999999703E-2</v>
      </c>
      <c r="K81" s="848">
        <v>1.9337238000000201E-2</v>
      </c>
      <c r="L81" s="1210">
        <v>2.5575999999999999E-6</v>
      </c>
      <c r="M81" s="1208">
        <v>7.8</v>
      </c>
      <c r="N81" s="1211">
        <v>16.96498305998</v>
      </c>
      <c r="O81" s="23"/>
      <c r="P81" s="1609"/>
    </row>
    <row r="82" spans="1:16" ht="14" customHeight="1" x14ac:dyDescent="0.15">
      <c r="A82" s="1606"/>
      <c r="B82" s="1208">
        <v>7.9</v>
      </c>
      <c r="C82" s="724">
        <v>1.2252610000000099E-2</v>
      </c>
      <c r="D82" s="447">
        <v>0.59513015000000002</v>
      </c>
      <c r="E82" s="846">
        <v>1.57335738999999</v>
      </c>
      <c r="F82" s="536">
        <v>1.0248157305899901</v>
      </c>
      <c r="G82" s="737">
        <f t="shared" si="1"/>
        <v>5.3915500000000019E-2</v>
      </c>
      <c r="H82" s="1209">
        <v>12.54598646</v>
      </c>
      <c r="I82" s="497">
        <v>1.13119999999999</v>
      </c>
      <c r="J82" s="529">
        <v>4.2104379999999698E-2</v>
      </c>
      <c r="K82" s="848">
        <v>1.93457090000002E-2</v>
      </c>
      <c r="L82" s="1210">
        <v>2.5768E-6</v>
      </c>
      <c r="M82" s="1208">
        <v>7.9</v>
      </c>
      <c r="N82" s="1211">
        <v>16.99745566639</v>
      </c>
      <c r="O82" s="23"/>
      <c r="P82" s="1609"/>
    </row>
    <row r="83" spans="1:16" ht="14" customHeight="1" x14ac:dyDescent="0.15">
      <c r="A83" s="1606"/>
      <c r="B83" s="1199">
        <v>8</v>
      </c>
      <c r="C83" s="1200">
        <v>1.22662000000001E-2</v>
      </c>
      <c r="D83" s="1201">
        <v>0.59946900000000003</v>
      </c>
      <c r="E83" s="1136">
        <v>1.5740327999999899</v>
      </c>
      <c r="F83" s="1202">
        <v>1.0255974967999899</v>
      </c>
      <c r="G83" s="737">
        <f t="shared" si="1"/>
        <v>5.4110000000000019E-2</v>
      </c>
      <c r="H83" s="1204">
        <v>12.5696192</v>
      </c>
      <c r="I83" s="1137">
        <v>1.1339999999999899</v>
      </c>
      <c r="J83" s="1205">
        <v>4.2181599999999701E-2</v>
      </c>
      <c r="K83" s="1206">
        <v>1.93541800000002E-2</v>
      </c>
      <c r="L83" s="1207">
        <v>2.5959999999999998E-6</v>
      </c>
      <c r="M83" s="1199">
        <v>8</v>
      </c>
      <c r="N83" s="101">
        <v>17.029928272799999</v>
      </c>
      <c r="O83" s="1138"/>
      <c r="P83" s="1608"/>
    </row>
    <row r="84" spans="1:16" ht="14" customHeight="1" x14ac:dyDescent="0.15">
      <c r="A84" s="1606"/>
      <c r="B84" s="1208">
        <v>8.1</v>
      </c>
      <c r="C84" s="724">
        <v>1.2279790000000099E-2</v>
      </c>
      <c r="D84" s="447">
        <v>0.60380785000000003</v>
      </c>
      <c r="E84" s="846">
        <v>1.5747082099999901</v>
      </c>
      <c r="F84" s="943">
        <v>1.0263792630099899</v>
      </c>
      <c r="G84" s="737">
        <f t="shared" si="1"/>
        <v>5.4304500000000019E-2</v>
      </c>
      <c r="H84" s="1209">
        <v>12.59325194</v>
      </c>
      <c r="I84" s="497">
        <v>1.13679999999999</v>
      </c>
      <c r="J84" s="529">
        <v>4.2258819999999697E-2</v>
      </c>
      <c r="K84" s="848">
        <v>1.9362651000000199E-2</v>
      </c>
      <c r="L84" s="1210">
        <v>2.6152E-6</v>
      </c>
      <c r="M84" s="1208">
        <v>8.1</v>
      </c>
      <c r="N84" s="1211">
        <v>17.062400879209999</v>
      </c>
      <c r="O84" s="23"/>
      <c r="P84" s="1609"/>
    </row>
    <row r="85" spans="1:16" ht="14" customHeight="1" x14ac:dyDescent="0.15">
      <c r="A85" s="1606"/>
      <c r="B85" s="1208">
        <v>8.1999999999999993</v>
      </c>
      <c r="C85" s="724">
        <v>1.22933800000001E-2</v>
      </c>
      <c r="D85" s="447">
        <v>0.60814670000000004</v>
      </c>
      <c r="E85" s="1136">
        <v>1.57538361999999</v>
      </c>
      <c r="F85" s="536">
        <v>1.02716102921999</v>
      </c>
      <c r="G85" s="737">
        <f t="shared" si="1"/>
        <v>5.449900000000002E-2</v>
      </c>
      <c r="H85" s="1209">
        <v>12.61688468</v>
      </c>
      <c r="I85" s="1137">
        <v>1.13959999999999</v>
      </c>
      <c r="J85" s="529">
        <v>4.23360399999997E-2</v>
      </c>
      <c r="K85" s="848">
        <v>1.9371122000000199E-2</v>
      </c>
      <c r="L85" s="1210">
        <v>2.6344000000000001E-6</v>
      </c>
      <c r="M85" s="1208">
        <v>8.1999999999999993</v>
      </c>
      <c r="N85" s="1211">
        <v>17.094873485619999</v>
      </c>
      <c r="O85" s="23"/>
      <c r="P85" s="1609"/>
    </row>
    <row r="86" spans="1:16" ht="14" customHeight="1" x14ac:dyDescent="0.15">
      <c r="A86" s="1606"/>
      <c r="B86" s="1208">
        <v>8.3000000000000007</v>
      </c>
      <c r="C86" s="724">
        <v>1.2306970000000099E-2</v>
      </c>
      <c r="D86" s="447">
        <v>0.61248555000000005</v>
      </c>
      <c r="E86" s="846">
        <v>1.5760590299999899</v>
      </c>
      <c r="F86" s="943">
        <v>1.02794279542999</v>
      </c>
      <c r="G86" s="737">
        <f t="shared" si="1"/>
        <v>5.469350000000002E-2</v>
      </c>
      <c r="H86" s="1209">
        <v>12.64051742</v>
      </c>
      <c r="I86" s="497">
        <v>1.1423999999999901</v>
      </c>
      <c r="J86" s="529">
        <v>4.2413259999999703E-2</v>
      </c>
      <c r="K86" s="848">
        <v>1.9379593000000198E-2</v>
      </c>
      <c r="L86" s="1210">
        <v>2.6535999999999999E-6</v>
      </c>
      <c r="M86" s="1208">
        <v>8.3000000000000007</v>
      </c>
      <c r="N86" s="1211">
        <v>17.127346092029999</v>
      </c>
      <c r="O86" s="23"/>
      <c r="P86" s="1609"/>
    </row>
    <row r="87" spans="1:16" ht="14" customHeight="1" x14ac:dyDescent="0.15">
      <c r="A87" s="1606"/>
      <c r="B87" s="1208">
        <v>8.4</v>
      </c>
      <c r="C87" s="724">
        <v>1.23205600000001E-2</v>
      </c>
      <c r="D87" s="447">
        <v>0.61682440000000005</v>
      </c>
      <c r="E87" s="1136">
        <v>1.5767344399999901</v>
      </c>
      <c r="F87" s="943">
        <v>1.02872456163999</v>
      </c>
      <c r="G87" s="737">
        <f t="shared" si="1"/>
        <v>5.488800000000002E-2</v>
      </c>
      <c r="H87" s="1209">
        <v>12.66415016</v>
      </c>
      <c r="I87" s="1137">
        <v>1.14519999999999</v>
      </c>
      <c r="J87" s="529">
        <v>4.2490479999999699E-2</v>
      </c>
      <c r="K87" s="848">
        <v>1.9388064000000201E-2</v>
      </c>
      <c r="L87" s="1210">
        <v>2.6728000000000001E-6</v>
      </c>
      <c r="M87" s="1208">
        <v>8.4</v>
      </c>
      <c r="N87" s="1211">
        <v>17.159818698439999</v>
      </c>
      <c r="O87" s="23"/>
      <c r="P87" s="1609"/>
    </row>
    <row r="88" spans="1:16" ht="14" customHeight="1" x14ac:dyDescent="0.15">
      <c r="A88" s="1606"/>
      <c r="B88" s="1208">
        <v>8.5</v>
      </c>
      <c r="C88" s="724">
        <v>1.2334150000000099E-2</v>
      </c>
      <c r="D88" s="447">
        <v>0.62116324999999994</v>
      </c>
      <c r="E88" s="846">
        <v>1.57740984999999</v>
      </c>
      <c r="F88" s="536">
        <v>1.0295063278499901</v>
      </c>
      <c r="G88" s="737">
        <f t="shared" si="1"/>
        <v>5.508250000000002E-2</v>
      </c>
      <c r="H88" s="1209">
        <v>12.6877829</v>
      </c>
      <c r="I88" s="497">
        <v>1.1479999999999899</v>
      </c>
      <c r="J88" s="529">
        <v>4.2567699999999702E-2</v>
      </c>
      <c r="K88" s="848">
        <v>1.9396535000000201E-2</v>
      </c>
      <c r="L88" s="1210">
        <v>2.6919999999999998E-6</v>
      </c>
      <c r="M88" s="1208">
        <v>8.5</v>
      </c>
      <c r="N88" s="1211">
        <v>17.192291304849999</v>
      </c>
      <c r="O88" s="23"/>
      <c r="P88" s="1609"/>
    </row>
    <row r="89" spans="1:16" ht="14" customHeight="1" x14ac:dyDescent="0.15">
      <c r="A89" s="1606"/>
      <c r="B89" s="1208">
        <v>8.6</v>
      </c>
      <c r="C89" s="724">
        <v>1.23477400000001E-2</v>
      </c>
      <c r="D89" s="447">
        <v>0.62550210000000095</v>
      </c>
      <c r="E89" s="1136">
        <v>1.5780852599999899</v>
      </c>
      <c r="F89" s="943">
        <v>1.0302880940599899</v>
      </c>
      <c r="G89" s="737">
        <f t="shared" si="1"/>
        <v>5.5277000000000021E-2</v>
      </c>
      <c r="H89" s="1209">
        <v>12.71141564</v>
      </c>
      <c r="I89" s="1137">
        <v>1.1507999999999901</v>
      </c>
      <c r="J89" s="529">
        <v>4.26449199999996E-2</v>
      </c>
      <c r="K89" s="848">
        <v>1.9405006000000301E-2</v>
      </c>
      <c r="L89" s="1210">
        <v>2.7112E-6</v>
      </c>
      <c r="M89" s="1208">
        <v>8.6</v>
      </c>
      <c r="N89" s="1211">
        <v>17.224763911259998</v>
      </c>
      <c r="O89" s="23"/>
      <c r="P89" s="1609"/>
    </row>
    <row r="90" spans="1:16" ht="14" customHeight="1" x14ac:dyDescent="0.15">
      <c r="A90" s="1606"/>
      <c r="B90" s="1208">
        <v>8.6999999999999993</v>
      </c>
      <c r="C90" s="724">
        <v>1.2361330000000101E-2</v>
      </c>
      <c r="D90" s="447">
        <v>0.62984094999999996</v>
      </c>
      <c r="E90" s="846">
        <v>1.5787606699999901</v>
      </c>
      <c r="F90" s="943">
        <v>1.0310698602699899</v>
      </c>
      <c r="G90" s="737">
        <f t="shared" si="1"/>
        <v>5.5471500000000021E-2</v>
      </c>
      <c r="H90" s="1209">
        <v>12.73504838</v>
      </c>
      <c r="I90" s="497">
        <v>1.15359999999999</v>
      </c>
      <c r="J90" s="529">
        <v>4.2722139999999603E-2</v>
      </c>
      <c r="K90" s="848">
        <v>1.94134770000003E-2</v>
      </c>
      <c r="L90" s="1210">
        <v>2.7304000000000002E-6</v>
      </c>
      <c r="M90" s="1208">
        <v>8.6999999999999993</v>
      </c>
      <c r="N90" s="1211">
        <v>17.257236517670002</v>
      </c>
      <c r="O90" s="23"/>
      <c r="P90" s="1609"/>
    </row>
    <row r="91" spans="1:16" ht="14" customHeight="1" x14ac:dyDescent="0.15">
      <c r="A91" s="1606"/>
      <c r="B91" s="1208">
        <v>8.8000000000000007</v>
      </c>
      <c r="C91" s="724">
        <v>1.23749200000001E-2</v>
      </c>
      <c r="D91" s="447">
        <v>0.63417980000000096</v>
      </c>
      <c r="E91" s="1136">
        <v>1.57943607999999</v>
      </c>
      <c r="F91" s="536">
        <v>1.03185162647999</v>
      </c>
      <c r="G91" s="737">
        <f t="shared" si="1"/>
        <v>5.5666000000000021E-2</v>
      </c>
      <c r="H91" s="1209">
        <v>12.75868112</v>
      </c>
      <c r="I91" s="1137">
        <v>1.1563999999999901</v>
      </c>
      <c r="J91" s="529">
        <v>4.2799359999999599E-2</v>
      </c>
      <c r="K91" s="848">
        <v>1.94219480000003E-2</v>
      </c>
      <c r="L91" s="1210">
        <v>2.7495999999999999E-6</v>
      </c>
      <c r="M91" s="1208">
        <v>8.8000000000000007</v>
      </c>
      <c r="N91" s="1211">
        <v>17.289709124080002</v>
      </c>
      <c r="O91" s="23"/>
      <c r="P91" s="1609"/>
    </row>
    <row r="92" spans="1:16" ht="14" customHeight="1" x14ac:dyDescent="0.15">
      <c r="A92" s="1606"/>
      <c r="B92" s="1208">
        <v>8.9</v>
      </c>
      <c r="C92" s="724">
        <v>1.2388510000000101E-2</v>
      </c>
      <c r="D92" s="447">
        <v>0.63851864999999997</v>
      </c>
      <c r="E92" s="846">
        <v>1.58011148999999</v>
      </c>
      <c r="F92" s="943">
        <v>1.03263339268999</v>
      </c>
      <c r="G92" s="737">
        <f t="shared" si="1"/>
        <v>5.5860500000000021E-2</v>
      </c>
      <c r="H92" s="1209">
        <v>12.78231386</v>
      </c>
      <c r="I92" s="497">
        <v>1.15919999999999</v>
      </c>
      <c r="J92" s="529">
        <v>4.2876579999999602E-2</v>
      </c>
      <c r="K92" s="848">
        <v>1.9430419000000299E-2</v>
      </c>
      <c r="L92" s="1210">
        <v>2.7688000000000001E-6</v>
      </c>
      <c r="M92" s="1208">
        <v>8.9</v>
      </c>
      <c r="N92" s="1211">
        <v>17.322181730490001</v>
      </c>
      <c r="O92" s="23"/>
      <c r="P92" s="1609"/>
    </row>
    <row r="93" spans="1:16" ht="14" customHeight="1" x14ac:dyDescent="0.15">
      <c r="A93" s="1606"/>
      <c r="B93" s="1199">
        <v>9</v>
      </c>
      <c r="C93" s="1200">
        <v>1.24021000000001E-2</v>
      </c>
      <c r="D93" s="1201">
        <v>0.64285750000000097</v>
      </c>
      <c r="E93" s="1136">
        <v>1.5807868999999899</v>
      </c>
      <c r="F93" s="1202">
        <v>1.03341515889999</v>
      </c>
      <c r="G93" s="737">
        <f t="shared" si="1"/>
        <v>5.6055000000000021E-2</v>
      </c>
      <c r="H93" s="1204">
        <v>12.8059466</v>
      </c>
      <c r="I93" s="1137">
        <v>1.1619999999999899</v>
      </c>
      <c r="J93" s="1205">
        <v>4.2953799999999598E-2</v>
      </c>
      <c r="K93" s="1206">
        <v>1.9438890000000299E-2</v>
      </c>
      <c r="L93" s="1207">
        <v>2.7879999999999998E-6</v>
      </c>
      <c r="M93" s="1199">
        <v>9</v>
      </c>
      <c r="N93" s="101">
        <v>17.354654336900001</v>
      </c>
      <c r="O93" s="1138"/>
      <c r="P93" s="1608"/>
    </row>
    <row r="94" spans="1:16" ht="14" customHeight="1" x14ac:dyDescent="0.15">
      <c r="A94" s="1606"/>
      <c r="B94" s="1208">
        <v>9.1</v>
      </c>
      <c r="C94" s="724">
        <v>1.2415690000000101E-2</v>
      </c>
      <c r="D94" s="447">
        <v>0.64719634999999998</v>
      </c>
      <c r="E94" s="846">
        <v>1.58146230999999</v>
      </c>
      <c r="F94" s="536">
        <v>1.0341969251099901</v>
      </c>
      <c r="G94" s="737">
        <f t="shared" si="1"/>
        <v>5.6249500000000022E-2</v>
      </c>
      <c r="H94" s="1209">
        <v>12.82957934</v>
      </c>
      <c r="I94" s="497">
        <v>1.1647999999999901</v>
      </c>
      <c r="J94" s="529">
        <v>4.3031019999999601E-2</v>
      </c>
      <c r="K94" s="848">
        <v>1.9447361000000302E-2</v>
      </c>
      <c r="L94" s="1210">
        <v>2.8072E-6</v>
      </c>
      <c r="M94" s="1208">
        <v>9.1</v>
      </c>
      <c r="N94" s="1211">
        <v>17.387126943310001</v>
      </c>
      <c r="O94" s="23"/>
      <c r="P94" s="1609"/>
    </row>
    <row r="95" spans="1:16" ht="14" customHeight="1" x14ac:dyDescent="0.15">
      <c r="A95" s="1606"/>
      <c r="B95" s="1208">
        <v>9.1999999999999993</v>
      </c>
      <c r="C95" s="724">
        <v>1.24292800000001E-2</v>
      </c>
      <c r="D95" s="447">
        <v>0.65153520000000098</v>
      </c>
      <c r="E95" s="1136">
        <v>1.58213771999999</v>
      </c>
      <c r="F95" s="943">
        <v>1.0349786913199901</v>
      </c>
      <c r="G95" s="737">
        <f t="shared" si="1"/>
        <v>5.6444000000000022E-2</v>
      </c>
      <c r="H95" s="1209">
        <v>12.85321208</v>
      </c>
      <c r="I95" s="1137">
        <v>1.16759999999999</v>
      </c>
      <c r="J95" s="529">
        <v>4.3108239999999597E-2</v>
      </c>
      <c r="K95" s="848">
        <v>1.9455832000000301E-2</v>
      </c>
      <c r="L95" s="1210">
        <v>2.8264000000000002E-6</v>
      </c>
      <c r="M95" s="1208">
        <v>9.1999999999999993</v>
      </c>
      <c r="N95" s="1211">
        <v>17.419599549720001</v>
      </c>
      <c r="O95" s="23"/>
      <c r="P95" s="1609"/>
    </row>
    <row r="96" spans="1:16" ht="14" customHeight="1" x14ac:dyDescent="0.15">
      <c r="A96" s="1606"/>
      <c r="B96" s="1208">
        <v>9.3000000000000007</v>
      </c>
      <c r="C96" s="724">
        <v>1.2442870000000101E-2</v>
      </c>
      <c r="D96" s="447">
        <v>0.65587404999999999</v>
      </c>
      <c r="E96" s="846">
        <v>1.5828131299999899</v>
      </c>
      <c r="F96" s="943">
        <v>1.0357604575299899</v>
      </c>
      <c r="G96" s="737">
        <f t="shared" si="1"/>
        <v>5.6638500000000022E-2</v>
      </c>
      <c r="H96" s="1209">
        <v>12.876844820000001</v>
      </c>
      <c r="I96" s="497">
        <v>1.1703999999999899</v>
      </c>
      <c r="J96" s="529">
        <v>4.3185459999999599E-2</v>
      </c>
      <c r="K96" s="848">
        <v>1.9464303000000301E-2</v>
      </c>
      <c r="L96" s="1210">
        <v>2.8455999999999999E-6</v>
      </c>
      <c r="M96" s="1208">
        <v>9.3000000000000007</v>
      </c>
      <c r="N96" s="1211">
        <v>17.452072156130001</v>
      </c>
      <c r="O96" s="23"/>
      <c r="P96" s="1609"/>
    </row>
    <row r="97" spans="1:16" ht="14" customHeight="1" x14ac:dyDescent="0.15">
      <c r="A97" s="1606"/>
      <c r="B97" s="1208">
        <v>9.4</v>
      </c>
      <c r="C97" s="724">
        <v>1.24564600000001E-2</v>
      </c>
      <c r="D97" s="447">
        <v>0.66021290000000099</v>
      </c>
      <c r="E97" s="1136">
        <v>1.5834885399999901</v>
      </c>
      <c r="F97" s="536">
        <v>1.0365422237399899</v>
      </c>
      <c r="G97" s="737">
        <f t="shared" si="1"/>
        <v>5.6833000000000022E-2</v>
      </c>
      <c r="H97" s="1209">
        <v>12.900477560000001</v>
      </c>
      <c r="I97" s="1137">
        <v>1.17319999999999</v>
      </c>
      <c r="J97" s="529">
        <v>4.3262679999999602E-2</v>
      </c>
      <c r="K97" s="848">
        <v>1.94727740000003E-2</v>
      </c>
      <c r="L97" s="1210">
        <v>2.8648000000000001E-6</v>
      </c>
      <c r="M97" s="1208">
        <v>9.4</v>
      </c>
      <c r="N97" s="1211">
        <v>17.484544762540001</v>
      </c>
      <c r="O97" s="23"/>
      <c r="P97" s="1609"/>
    </row>
    <row r="98" spans="1:16" ht="14" customHeight="1" x14ac:dyDescent="0.15">
      <c r="A98" s="1606"/>
      <c r="B98" s="1208">
        <v>9.5</v>
      </c>
      <c r="C98" s="724">
        <v>1.24700500000001E-2</v>
      </c>
      <c r="D98" s="447">
        <v>0.66455175</v>
      </c>
      <c r="E98" s="846">
        <v>1.58416394999999</v>
      </c>
      <c r="F98" s="943">
        <v>1.03732398994999</v>
      </c>
      <c r="G98" s="737">
        <f t="shared" si="1"/>
        <v>5.7027500000000023E-2</v>
      </c>
      <c r="H98" s="1209">
        <v>12.924110300000001</v>
      </c>
      <c r="I98" s="497">
        <v>1.1759999999999899</v>
      </c>
      <c r="J98" s="529">
        <v>4.3339899999999598E-2</v>
      </c>
      <c r="K98" s="848">
        <v>1.94812450000003E-2</v>
      </c>
      <c r="L98" s="1210">
        <v>2.8839999999999998E-6</v>
      </c>
      <c r="M98" s="1208">
        <v>9.5</v>
      </c>
      <c r="N98" s="1211">
        <v>17.51701736895</v>
      </c>
      <c r="O98" s="23"/>
      <c r="P98" s="1609"/>
    </row>
    <row r="99" spans="1:16" ht="14" customHeight="1" x14ac:dyDescent="0.15">
      <c r="A99" s="1606"/>
      <c r="B99" s="1208">
        <v>9.6</v>
      </c>
      <c r="C99" s="724">
        <v>1.24836400000001E-2</v>
      </c>
      <c r="D99" s="447">
        <v>0.668890600000001</v>
      </c>
      <c r="E99" s="1136">
        <v>1.5848393599999899</v>
      </c>
      <c r="F99" s="943">
        <v>1.03810575615999</v>
      </c>
      <c r="G99" s="737">
        <f t="shared" si="1"/>
        <v>5.7222000000000023E-2</v>
      </c>
      <c r="H99" s="1209">
        <v>12.947743040000001</v>
      </c>
      <c r="I99" s="1137">
        <v>1.1787999999999901</v>
      </c>
      <c r="J99" s="529">
        <v>4.3417119999999601E-2</v>
      </c>
      <c r="K99" s="848">
        <v>1.9489716000000299E-2</v>
      </c>
      <c r="L99" s="1210">
        <v>2.9032E-6</v>
      </c>
      <c r="M99" s="1208">
        <v>9.6</v>
      </c>
      <c r="N99" s="1211">
        <v>17.54948997536</v>
      </c>
      <c r="O99" s="23"/>
      <c r="P99" s="1609"/>
    </row>
    <row r="100" spans="1:16" ht="14" customHeight="1" x14ac:dyDescent="0.15">
      <c r="A100" s="1606"/>
      <c r="B100" s="1208">
        <v>9.6999999999999993</v>
      </c>
      <c r="C100" s="724">
        <v>1.24972300000001E-2</v>
      </c>
      <c r="D100" s="447">
        <v>0.67322945000000001</v>
      </c>
      <c r="E100" s="846">
        <v>1.5855147699999901</v>
      </c>
      <c r="F100" s="536">
        <v>1.03888752236999</v>
      </c>
      <c r="G100" s="737">
        <f t="shared" si="1"/>
        <v>5.7416500000000023E-2</v>
      </c>
      <c r="H100" s="1209">
        <v>12.971375780000001</v>
      </c>
      <c r="I100" s="497">
        <v>1.18159999999999</v>
      </c>
      <c r="J100" s="529">
        <v>4.3494339999999597E-2</v>
      </c>
      <c r="K100" s="848">
        <v>1.9498187000000299E-2</v>
      </c>
      <c r="L100" s="1210">
        <v>2.9224000000000002E-6</v>
      </c>
      <c r="M100" s="1208">
        <v>9.6999999999999993</v>
      </c>
      <c r="N100" s="1211">
        <v>17.58196258177</v>
      </c>
      <c r="O100" s="23"/>
      <c r="P100" s="1609"/>
    </row>
    <row r="101" spans="1:16" ht="14" customHeight="1" x14ac:dyDescent="0.15">
      <c r="A101" s="1606"/>
      <c r="B101" s="1208">
        <v>9.8000000000000007</v>
      </c>
      <c r="C101" s="724">
        <v>1.25108200000001E-2</v>
      </c>
      <c r="D101" s="447">
        <v>0.67756830000000101</v>
      </c>
      <c r="E101" s="1136">
        <v>1.58619017999999</v>
      </c>
      <c r="F101" s="943">
        <v>1.0396692885799901</v>
      </c>
      <c r="G101" s="737">
        <f t="shared" si="1"/>
        <v>5.7611000000000023E-2</v>
      </c>
      <c r="H101" s="1209">
        <v>12.995008520000001</v>
      </c>
      <c r="I101" s="1137">
        <v>1.1843999999999899</v>
      </c>
      <c r="J101" s="529">
        <v>4.35715599999996E-2</v>
      </c>
      <c r="K101" s="848">
        <v>1.9506658000000301E-2</v>
      </c>
      <c r="L101" s="1210">
        <v>2.9415999999999999E-6</v>
      </c>
      <c r="M101" s="1208">
        <v>9.8000000000000007</v>
      </c>
      <c r="N101" s="1211">
        <v>17.61443518818</v>
      </c>
      <c r="O101" s="23"/>
      <c r="P101" s="1609"/>
    </row>
    <row r="102" spans="1:16" ht="14" customHeight="1" x14ac:dyDescent="0.15">
      <c r="A102" s="1606"/>
      <c r="B102" s="1208">
        <v>9.9</v>
      </c>
      <c r="C102" s="724">
        <v>1.25244100000001E-2</v>
      </c>
      <c r="D102" s="447">
        <v>0.68190715000000002</v>
      </c>
      <c r="E102" s="846">
        <v>1.5868655899999899</v>
      </c>
      <c r="F102" s="943">
        <v>1.0404510547899899</v>
      </c>
      <c r="G102" s="737">
        <f t="shared" si="1"/>
        <v>5.7805500000000024E-2</v>
      </c>
      <c r="H102" s="1209">
        <v>13.018641260000001</v>
      </c>
      <c r="I102" s="497">
        <v>1.18719999999999</v>
      </c>
      <c r="J102" s="529">
        <v>4.3648779999999603E-2</v>
      </c>
      <c r="K102" s="848">
        <v>1.9515129000000301E-2</v>
      </c>
      <c r="L102" s="1210">
        <v>2.9608000000000001E-6</v>
      </c>
      <c r="M102" s="1208">
        <v>9.9</v>
      </c>
      <c r="N102" s="1211">
        <v>17.64690779459</v>
      </c>
      <c r="O102" s="23"/>
      <c r="P102" s="1609"/>
    </row>
    <row r="103" spans="1:16" ht="14" customHeight="1" x14ac:dyDescent="0.15">
      <c r="A103" s="1607" t="s">
        <v>185</v>
      </c>
      <c r="B103" s="1199">
        <v>10</v>
      </c>
      <c r="C103" s="1200">
        <v>1.2538000000000099E-2</v>
      </c>
      <c r="D103" s="1201">
        <v>0.68624600000000102</v>
      </c>
      <c r="E103" s="1136">
        <v>1.5875409999999901</v>
      </c>
      <c r="F103" s="1202">
        <v>1.0412328209999899</v>
      </c>
      <c r="G103" s="737">
        <f t="shared" si="1"/>
        <v>5.8000000000000024E-2</v>
      </c>
      <c r="H103" s="1204">
        <v>13.042274000000001</v>
      </c>
      <c r="I103" s="1137">
        <v>1.18999999999999</v>
      </c>
      <c r="J103" s="1205">
        <v>4.3725999999999599E-2</v>
      </c>
      <c r="K103" s="1206">
        <v>1.95236000000003E-2</v>
      </c>
      <c r="L103" s="1207">
        <v>2.9799999999999998E-6</v>
      </c>
      <c r="M103" s="1199">
        <v>10</v>
      </c>
      <c r="N103" s="101">
        <v>17.679380401</v>
      </c>
      <c r="O103" s="1138"/>
      <c r="P103" s="1608"/>
    </row>
    <row r="104" spans="1:16" ht="13.75" customHeight="1" x14ac:dyDescent="0.15">
      <c r="A104" s="1606"/>
      <c r="B104" s="23"/>
      <c r="C104" s="23"/>
      <c r="D104" s="541"/>
      <c r="E104" s="512"/>
      <c r="F104" s="23"/>
      <c r="G104" s="22"/>
      <c r="H104" s="520"/>
      <c r="I104" s="407"/>
      <c r="J104" s="23"/>
      <c r="K104" s="555"/>
      <c r="L104" s="23"/>
      <c r="M104" s="23"/>
      <c r="N104" s="23"/>
      <c r="O104" s="23"/>
      <c r="P104" s="23"/>
    </row>
    <row r="105" spans="1:16" s="1538" customFormat="1" ht="33" customHeight="1" x14ac:dyDescent="0.15">
      <c r="A105" s="1606"/>
      <c r="B105" s="23"/>
      <c r="C105" s="30" t="s">
        <v>9</v>
      </c>
      <c r="D105" s="31" t="s">
        <v>10</v>
      </c>
      <c r="E105" s="32" t="s">
        <v>11</v>
      </c>
      <c r="F105" s="814" t="s">
        <v>12</v>
      </c>
      <c r="G105" s="34" t="s">
        <v>13</v>
      </c>
      <c r="H105" s="909" t="s">
        <v>14</v>
      </c>
      <c r="I105" s="815" t="s">
        <v>15</v>
      </c>
      <c r="J105" s="37" t="s">
        <v>16</v>
      </c>
      <c r="K105" s="38" t="s">
        <v>17</v>
      </c>
      <c r="L105" s="39" t="s">
        <v>18</v>
      </c>
      <c r="M105" s="23"/>
      <c r="N105" s="23"/>
      <c r="O105" s="23"/>
      <c r="P105" s="23"/>
    </row>
    <row r="106" spans="1:16" s="1538" customFormat="1" ht="13" customHeight="1" x14ac:dyDescent="0.15">
      <c r="A106" s="1610"/>
      <c r="B106" s="1610"/>
      <c r="C106" s="1610"/>
      <c r="D106" s="1610"/>
      <c r="E106" s="1610"/>
      <c r="F106" s="1610"/>
      <c r="G106" s="1610"/>
      <c r="H106" s="1610"/>
      <c r="I106" s="1610"/>
      <c r="J106" s="1610"/>
      <c r="K106" s="1610"/>
      <c r="L106" s="1610"/>
      <c r="M106" s="1610"/>
      <c r="N106" s="1610"/>
      <c r="O106" s="1610"/>
      <c r="P106" s="1610"/>
    </row>
  </sheetData>
  <pageMargins left="0.74791700000000005" right="0.74791700000000005" top="0.98402800000000001" bottom="0.98402800000000001" header="0.49236099999999999" footer="0.49236099999999999"/>
  <pageSetup orientation="portrait"/>
  <headerFooter>
    <oddHeader>&amp;C&amp;"Arial,Regular"&amp;10&amp;K000000IGH</oddHeader>
    <oddFooter>&amp;C&amp;"Arial,Regular"&amp;10&amp;K000000Page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showGridLines="0" workbookViewId="0">
      <selection activeCell="A3" sqref="A3:A6"/>
    </sheetView>
  </sheetViews>
  <sheetFormatPr baseColWidth="10" defaultColWidth="8.83203125" defaultRowHeight="13" customHeight="1" x14ac:dyDescent="0.15"/>
  <cols>
    <col min="1" max="1" width="8.5" style="1213" customWidth="1"/>
    <col min="2" max="11" width="9.5" style="1213" customWidth="1"/>
    <col min="12" max="12" width="8.5" style="1213" customWidth="1"/>
    <col min="13" max="14" width="12.5" style="1213" customWidth="1"/>
    <col min="15" max="256" width="8.83203125" customWidth="1"/>
  </cols>
  <sheetData>
    <row r="1" spans="1:14" ht="20" customHeight="1" x14ac:dyDescent="0.15">
      <c r="A1" s="1214" t="s">
        <v>345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77"/>
    </row>
    <row r="2" spans="1:14" ht="32" customHeight="1" x14ac:dyDescent="0.15">
      <c r="A2" s="1215" t="s">
        <v>346</v>
      </c>
      <c r="B2" s="30" t="s">
        <v>9</v>
      </c>
      <c r="C2" s="31" t="s">
        <v>10</v>
      </c>
      <c r="D2" s="32" t="s">
        <v>11</v>
      </c>
      <c r="E2" s="908" t="s">
        <v>23</v>
      </c>
      <c r="F2" s="34" t="s">
        <v>13</v>
      </c>
      <c r="G2" s="909" t="s">
        <v>14</v>
      </c>
      <c r="H2" s="815" t="s">
        <v>15</v>
      </c>
      <c r="I2" s="37" t="s">
        <v>16</v>
      </c>
      <c r="J2" s="38" t="s">
        <v>17</v>
      </c>
      <c r="K2" s="39" t="s">
        <v>18</v>
      </c>
      <c r="L2" s="281"/>
      <c r="M2" s="637"/>
      <c r="N2" s="282"/>
    </row>
    <row r="3" spans="1:14" ht="13" customHeight="1" x14ac:dyDescent="0.15">
      <c r="A3" s="1216" t="s">
        <v>347</v>
      </c>
      <c r="B3" s="1217">
        <v>-12.8</v>
      </c>
      <c r="C3" s="1218">
        <v>-2.1</v>
      </c>
      <c r="D3" s="1219">
        <v>-5.2</v>
      </c>
      <c r="E3" s="1220">
        <v>-26.78</v>
      </c>
      <c r="F3" s="1221">
        <v>-2.9</v>
      </c>
      <c r="G3" s="1222">
        <v>-2.8</v>
      </c>
      <c r="H3" s="1223">
        <v>-0.5</v>
      </c>
      <c r="I3" s="1224">
        <v>5.31</v>
      </c>
      <c r="J3" s="1225">
        <v>7</v>
      </c>
      <c r="K3" s="1226">
        <v>13</v>
      </c>
      <c r="L3" s="1227"/>
      <c r="M3" s="281"/>
      <c r="N3" s="282"/>
    </row>
    <row r="4" spans="1:14" ht="13" customHeight="1" x14ac:dyDescent="0.15">
      <c r="A4" s="1216" t="s">
        <v>348</v>
      </c>
      <c r="B4" s="1217">
        <v>2.5</v>
      </c>
      <c r="C4" s="1218">
        <v>5.5</v>
      </c>
      <c r="D4" s="1219">
        <v>-3.3</v>
      </c>
      <c r="E4" s="1220">
        <v>-26.69</v>
      </c>
      <c r="F4" s="1221">
        <v>2.0499999999999998</v>
      </c>
      <c r="G4" s="1222">
        <v>-1</v>
      </c>
      <c r="H4" s="1223">
        <v>1.52</v>
      </c>
      <c r="I4" s="1224">
        <v>6.2</v>
      </c>
      <c r="J4" s="1225">
        <v>7.9</v>
      </c>
      <c r="K4" s="1226">
        <v>17</v>
      </c>
      <c r="L4" s="1227"/>
      <c r="M4" s="281"/>
      <c r="N4" s="282"/>
    </row>
    <row r="5" spans="1:14" ht="13" customHeight="1" x14ac:dyDescent="0.15">
      <c r="A5" s="1228" t="s">
        <v>342</v>
      </c>
      <c r="B5" s="1229">
        <v>15.3</v>
      </c>
      <c r="C5" s="1230">
        <v>7.6</v>
      </c>
      <c r="D5" s="1231">
        <f>D3-D4</f>
        <v>-1.9000000000000004</v>
      </c>
      <c r="E5" s="1232">
        <f>E3-E4</f>
        <v>-8.9999999999999858E-2</v>
      </c>
      <c r="F5" s="1233">
        <v>4.95</v>
      </c>
      <c r="G5" s="1234">
        <f>G3-G4</f>
        <v>-1.7999999999999998</v>
      </c>
      <c r="H5" s="1235">
        <v>2.02</v>
      </c>
      <c r="I5" s="1236">
        <f>I4-I3</f>
        <v>0.89000000000000057</v>
      </c>
      <c r="J5" s="1237">
        <v>0.9</v>
      </c>
      <c r="K5" s="1238">
        <v>4</v>
      </c>
      <c r="L5" s="1227"/>
      <c r="M5" s="281"/>
      <c r="N5" s="282"/>
    </row>
    <row r="6" spans="1:14" ht="13" customHeight="1" x14ac:dyDescent="0.15">
      <c r="A6" s="1228" t="s">
        <v>349</v>
      </c>
      <c r="B6" s="1229">
        <f t="shared" ref="B6:K6" si="0">B5/100</f>
        <v>0.153</v>
      </c>
      <c r="C6" s="1230">
        <f t="shared" si="0"/>
        <v>7.5999999999999998E-2</v>
      </c>
      <c r="D6" s="1231">
        <f t="shared" si="0"/>
        <v>-1.9000000000000003E-2</v>
      </c>
      <c r="E6" s="1232">
        <f t="shared" si="0"/>
        <v>-8.9999999999999857E-4</v>
      </c>
      <c r="F6" s="1233">
        <f t="shared" si="0"/>
        <v>4.9500000000000002E-2</v>
      </c>
      <c r="G6" s="1234">
        <f t="shared" si="0"/>
        <v>-1.7999999999999999E-2</v>
      </c>
      <c r="H6" s="1235">
        <f t="shared" si="0"/>
        <v>2.0199999999999999E-2</v>
      </c>
      <c r="I6" s="1236">
        <f t="shared" si="0"/>
        <v>8.9000000000000051E-3</v>
      </c>
      <c r="J6" s="1237">
        <f t="shared" si="0"/>
        <v>9.0000000000000011E-3</v>
      </c>
      <c r="K6" s="1238">
        <f t="shared" si="0"/>
        <v>0.04</v>
      </c>
      <c r="L6" s="1227"/>
      <c r="M6" s="281"/>
      <c r="N6" s="282"/>
    </row>
    <row r="7" spans="1:14" ht="13" customHeight="1" x14ac:dyDescent="0.15">
      <c r="A7" s="1239" t="s">
        <v>331</v>
      </c>
      <c r="B7" s="281"/>
      <c r="C7" s="1240"/>
      <c r="D7" s="1241"/>
      <c r="E7" s="1242"/>
      <c r="F7" s="1243"/>
      <c r="G7" s="1244"/>
      <c r="H7" s="1245"/>
      <c r="I7" s="1246"/>
      <c r="J7" s="1247"/>
      <c r="K7" s="281"/>
      <c r="L7" s="1127" t="s">
        <v>331</v>
      </c>
      <c r="M7" s="281"/>
      <c r="N7" s="282"/>
    </row>
    <row r="8" spans="1:14" ht="15" customHeight="1" x14ac:dyDescent="0.15">
      <c r="A8" s="1248">
        <v>0</v>
      </c>
      <c r="B8" s="1249">
        <v>2.5</v>
      </c>
      <c r="C8" s="474">
        <v>5.5</v>
      </c>
      <c r="D8" s="1250">
        <v>-3.3</v>
      </c>
      <c r="E8" s="406">
        <v>-26.69</v>
      </c>
      <c r="F8" s="441">
        <v>2.0499999999999998</v>
      </c>
      <c r="G8" s="348">
        <f>-1</f>
        <v>-1</v>
      </c>
      <c r="H8" s="373">
        <v>1.52</v>
      </c>
      <c r="I8" s="1251">
        <v>6.2</v>
      </c>
      <c r="J8" s="1252">
        <v>7.9</v>
      </c>
      <c r="K8" s="1253">
        <v>17</v>
      </c>
      <c r="L8" s="1129">
        <v>0</v>
      </c>
      <c r="M8" s="281"/>
      <c r="N8" s="282"/>
    </row>
    <row r="9" spans="1:14" ht="13" customHeight="1" x14ac:dyDescent="0.15">
      <c r="A9" s="1254">
        <v>0.1</v>
      </c>
      <c r="B9" s="1249">
        <f t="shared" ref="B9:B40" si="1">B8-0.153</f>
        <v>2.347</v>
      </c>
      <c r="C9" s="474">
        <f t="shared" ref="C9:C40" si="2">C8-0.076</f>
        <v>5.4240000000000004</v>
      </c>
      <c r="D9" s="1250">
        <f t="shared" ref="D9:D40" si="3">D8-0.019</f>
        <v>-3.319</v>
      </c>
      <c r="E9" s="406">
        <f t="shared" ref="E9:E40" si="4">E8-0.0009</f>
        <v>-26.690900000000003</v>
      </c>
      <c r="F9" s="441">
        <f t="shared" ref="F9:F40" si="5">F8-0.0495</f>
        <v>2.0004999999999997</v>
      </c>
      <c r="G9" s="348">
        <f>G8-0.018</f>
        <v>-1.018</v>
      </c>
      <c r="H9" s="373">
        <f t="shared" ref="H9:H40" si="6">H8-0.0202</f>
        <v>1.4998</v>
      </c>
      <c r="I9" s="1251">
        <f t="shared" ref="I9:I40" si="7">I8-0.0089</f>
        <v>6.1911000000000005</v>
      </c>
      <c r="J9" s="1252">
        <f t="shared" ref="J9:J40" si="8">J8-0.009</f>
        <v>7.891</v>
      </c>
      <c r="K9" s="1253">
        <f t="shared" ref="K9:K40" si="9">K8-0.04</f>
        <v>16.96</v>
      </c>
      <c r="L9" s="1132">
        <v>0.1</v>
      </c>
      <c r="M9" s="281"/>
      <c r="N9" s="282"/>
    </row>
    <row r="10" spans="1:14" ht="13" customHeight="1" x14ac:dyDescent="0.15">
      <c r="A10" s="1254">
        <v>0.2</v>
      </c>
      <c r="B10" s="1249">
        <f t="shared" si="1"/>
        <v>2.194</v>
      </c>
      <c r="C10" s="474">
        <f t="shared" si="2"/>
        <v>5.3480000000000008</v>
      </c>
      <c r="D10" s="1250">
        <f t="shared" si="3"/>
        <v>-3.3380000000000001</v>
      </c>
      <c r="E10" s="406">
        <f t="shared" si="4"/>
        <v>-26.691800000000004</v>
      </c>
      <c r="F10" s="441">
        <f t="shared" si="5"/>
        <v>1.9509999999999996</v>
      </c>
      <c r="G10" s="348">
        <f>G9-0.018</f>
        <v>-1.036</v>
      </c>
      <c r="H10" s="373">
        <f t="shared" si="6"/>
        <v>1.4796</v>
      </c>
      <c r="I10" s="1251">
        <f t="shared" si="7"/>
        <v>6.1822000000000008</v>
      </c>
      <c r="J10" s="1252">
        <f t="shared" si="8"/>
        <v>7.8819999999999997</v>
      </c>
      <c r="K10" s="1253">
        <f t="shared" si="9"/>
        <v>16.920000000000002</v>
      </c>
      <c r="L10" s="1132">
        <v>0.2</v>
      </c>
      <c r="M10" s="281"/>
      <c r="N10" s="282"/>
    </row>
    <row r="11" spans="1:14" ht="13" customHeight="1" x14ac:dyDescent="0.15">
      <c r="A11" s="1254">
        <v>0.3</v>
      </c>
      <c r="B11" s="1249">
        <f t="shared" si="1"/>
        <v>2.0409999999999999</v>
      </c>
      <c r="C11" s="474">
        <f t="shared" si="2"/>
        <v>5.2720000000000011</v>
      </c>
      <c r="D11" s="1250">
        <f t="shared" si="3"/>
        <v>-3.3570000000000002</v>
      </c>
      <c r="E11" s="406">
        <f t="shared" si="4"/>
        <v>-26.692700000000006</v>
      </c>
      <c r="F11" s="441">
        <f t="shared" si="5"/>
        <v>1.9014999999999995</v>
      </c>
      <c r="G11" s="348">
        <f t="shared" ref="G11:G74" si="10">G10-0.018</f>
        <v>-1.054</v>
      </c>
      <c r="H11" s="373">
        <f t="shared" si="6"/>
        <v>1.4594</v>
      </c>
      <c r="I11" s="1251">
        <f t="shared" si="7"/>
        <v>6.1733000000000011</v>
      </c>
      <c r="J11" s="1252">
        <f t="shared" si="8"/>
        <v>7.8729999999999993</v>
      </c>
      <c r="K11" s="1253">
        <f t="shared" si="9"/>
        <v>16.880000000000003</v>
      </c>
      <c r="L11" s="1132">
        <v>0.3</v>
      </c>
      <c r="M11" s="281"/>
      <c r="N11" s="282"/>
    </row>
    <row r="12" spans="1:14" ht="13" customHeight="1" x14ac:dyDescent="0.15">
      <c r="A12" s="1254">
        <v>0.4</v>
      </c>
      <c r="B12" s="1249">
        <f t="shared" si="1"/>
        <v>1.8879999999999999</v>
      </c>
      <c r="C12" s="474">
        <f t="shared" si="2"/>
        <v>5.1960000000000015</v>
      </c>
      <c r="D12" s="1250">
        <f t="shared" si="3"/>
        <v>-3.3760000000000003</v>
      </c>
      <c r="E12" s="406">
        <f t="shared" si="4"/>
        <v>-26.693600000000007</v>
      </c>
      <c r="F12" s="441">
        <f t="shared" si="5"/>
        <v>1.8519999999999994</v>
      </c>
      <c r="G12" s="348">
        <f t="shared" si="10"/>
        <v>-1.0720000000000001</v>
      </c>
      <c r="H12" s="373">
        <f t="shared" si="6"/>
        <v>1.4392</v>
      </c>
      <c r="I12" s="1251">
        <f t="shared" si="7"/>
        <v>6.1644000000000014</v>
      </c>
      <c r="J12" s="1252">
        <f t="shared" si="8"/>
        <v>7.863999999999999</v>
      </c>
      <c r="K12" s="1253">
        <f t="shared" si="9"/>
        <v>16.840000000000003</v>
      </c>
      <c r="L12" s="1132">
        <v>0.4</v>
      </c>
      <c r="M12" s="281"/>
      <c r="N12" s="282"/>
    </row>
    <row r="13" spans="1:14" ht="13" customHeight="1" x14ac:dyDescent="0.15">
      <c r="A13" s="1254">
        <v>0.5</v>
      </c>
      <c r="B13" s="1249">
        <f t="shared" si="1"/>
        <v>1.7349999999999999</v>
      </c>
      <c r="C13" s="474">
        <f t="shared" si="2"/>
        <v>5.1200000000000019</v>
      </c>
      <c r="D13" s="1250">
        <f t="shared" si="3"/>
        <v>-3.3950000000000005</v>
      </c>
      <c r="E13" s="406">
        <f t="shared" si="4"/>
        <v>-26.694500000000009</v>
      </c>
      <c r="F13" s="441">
        <f t="shared" si="5"/>
        <v>1.8024999999999993</v>
      </c>
      <c r="G13" s="348">
        <f t="shared" si="10"/>
        <v>-1.0900000000000001</v>
      </c>
      <c r="H13" s="373">
        <f t="shared" si="6"/>
        <v>1.419</v>
      </c>
      <c r="I13" s="1251">
        <f t="shared" si="7"/>
        <v>6.1555000000000017</v>
      </c>
      <c r="J13" s="1252">
        <f t="shared" si="8"/>
        <v>7.8549999999999986</v>
      </c>
      <c r="K13" s="1253">
        <f t="shared" si="9"/>
        <v>16.800000000000004</v>
      </c>
      <c r="L13" s="1132">
        <v>0.5</v>
      </c>
      <c r="M13" s="281"/>
      <c r="N13" s="282"/>
    </row>
    <row r="14" spans="1:14" ht="13" customHeight="1" x14ac:dyDescent="0.15">
      <c r="A14" s="1254">
        <v>0.6</v>
      </c>
      <c r="B14" s="1249">
        <f t="shared" si="1"/>
        <v>1.5819999999999999</v>
      </c>
      <c r="C14" s="474">
        <f t="shared" si="2"/>
        <v>5.0440000000000023</v>
      </c>
      <c r="D14" s="1250">
        <f t="shared" si="3"/>
        <v>-3.4140000000000006</v>
      </c>
      <c r="E14" s="406">
        <f t="shared" si="4"/>
        <v>-26.69540000000001</v>
      </c>
      <c r="F14" s="441">
        <f t="shared" si="5"/>
        <v>1.7529999999999992</v>
      </c>
      <c r="G14" s="348">
        <f t="shared" si="10"/>
        <v>-1.1080000000000001</v>
      </c>
      <c r="H14" s="373">
        <f t="shared" si="6"/>
        <v>1.3988</v>
      </c>
      <c r="I14" s="1251">
        <f t="shared" si="7"/>
        <v>6.1466000000000021</v>
      </c>
      <c r="J14" s="1252">
        <f t="shared" si="8"/>
        <v>7.8459999999999983</v>
      </c>
      <c r="K14" s="1253">
        <f t="shared" si="9"/>
        <v>16.760000000000005</v>
      </c>
      <c r="L14" s="1132">
        <v>0.6</v>
      </c>
      <c r="M14" s="281"/>
      <c r="N14" s="282"/>
    </row>
    <row r="15" spans="1:14" ht="13" customHeight="1" x14ac:dyDescent="0.15">
      <c r="A15" s="1254">
        <v>0.7</v>
      </c>
      <c r="B15" s="1249">
        <f t="shared" si="1"/>
        <v>1.4289999999999998</v>
      </c>
      <c r="C15" s="474">
        <f t="shared" si="2"/>
        <v>4.9680000000000026</v>
      </c>
      <c r="D15" s="1250">
        <f t="shared" si="3"/>
        <v>-3.4330000000000007</v>
      </c>
      <c r="E15" s="406">
        <f t="shared" si="4"/>
        <v>-26.696300000000011</v>
      </c>
      <c r="F15" s="441">
        <f t="shared" si="5"/>
        <v>1.7034999999999991</v>
      </c>
      <c r="G15" s="348">
        <f t="shared" si="10"/>
        <v>-1.1260000000000001</v>
      </c>
      <c r="H15" s="373">
        <f t="shared" si="6"/>
        <v>1.3786</v>
      </c>
      <c r="I15" s="1251">
        <f t="shared" si="7"/>
        <v>6.1377000000000024</v>
      </c>
      <c r="J15" s="1252">
        <f t="shared" si="8"/>
        <v>7.836999999999998</v>
      </c>
      <c r="K15" s="1253">
        <f t="shared" si="9"/>
        <v>16.720000000000006</v>
      </c>
      <c r="L15" s="1132">
        <v>0.7</v>
      </c>
      <c r="M15" s="281"/>
      <c r="N15" s="282"/>
    </row>
    <row r="16" spans="1:14" ht="13" customHeight="1" x14ac:dyDescent="0.15">
      <c r="A16" s="1254">
        <v>0.8</v>
      </c>
      <c r="B16" s="1249">
        <f t="shared" si="1"/>
        <v>1.2759999999999998</v>
      </c>
      <c r="C16" s="474">
        <f t="shared" si="2"/>
        <v>4.892000000000003</v>
      </c>
      <c r="D16" s="1250">
        <f t="shared" si="3"/>
        <v>-3.4520000000000008</v>
      </c>
      <c r="E16" s="406">
        <f t="shared" si="4"/>
        <v>-26.697200000000013</v>
      </c>
      <c r="F16" s="441">
        <f t="shared" si="5"/>
        <v>1.653999999999999</v>
      </c>
      <c r="G16" s="348">
        <f t="shared" si="10"/>
        <v>-1.1440000000000001</v>
      </c>
      <c r="H16" s="373">
        <f t="shared" si="6"/>
        <v>1.3584000000000001</v>
      </c>
      <c r="I16" s="1251">
        <f t="shared" si="7"/>
        <v>6.1288000000000027</v>
      </c>
      <c r="J16" s="1252">
        <f t="shared" si="8"/>
        <v>7.8279999999999976</v>
      </c>
      <c r="K16" s="1253">
        <f t="shared" si="9"/>
        <v>16.680000000000007</v>
      </c>
      <c r="L16" s="1132">
        <v>0.8</v>
      </c>
      <c r="M16" s="281"/>
      <c r="N16" s="282"/>
    </row>
    <row r="17" spans="1:14" ht="13" customHeight="1" x14ac:dyDescent="0.15">
      <c r="A17" s="1254">
        <v>0.9</v>
      </c>
      <c r="B17" s="1249">
        <f t="shared" si="1"/>
        <v>1.1229999999999998</v>
      </c>
      <c r="C17" s="474">
        <f t="shared" si="2"/>
        <v>4.8160000000000034</v>
      </c>
      <c r="D17" s="1250">
        <f t="shared" si="3"/>
        <v>-3.471000000000001</v>
      </c>
      <c r="E17" s="406">
        <f t="shared" si="4"/>
        <v>-26.698100000000014</v>
      </c>
      <c r="F17" s="441">
        <f t="shared" si="5"/>
        <v>1.6044999999999989</v>
      </c>
      <c r="G17" s="348">
        <f t="shared" si="10"/>
        <v>-1.1620000000000001</v>
      </c>
      <c r="H17" s="373">
        <f t="shared" si="6"/>
        <v>1.3382000000000001</v>
      </c>
      <c r="I17" s="1251">
        <f t="shared" si="7"/>
        <v>6.119900000000003</v>
      </c>
      <c r="J17" s="1252">
        <f t="shared" si="8"/>
        <v>7.8189999999999973</v>
      </c>
      <c r="K17" s="1253">
        <f t="shared" si="9"/>
        <v>16.640000000000008</v>
      </c>
      <c r="L17" s="1132">
        <v>0.9</v>
      </c>
      <c r="M17" s="281"/>
      <c r="N17" s="282"/>
    </row>
    <row r="18" spans="1:14" ht="15" customHeight="1" x14ac:dyDescent="0.15">
      <c r="A18" s="1248">
        <v>1</v>
      </c>
      <c r="B18" s="1249">
        <f t="shared" si="1"/>
        <v>0.96999999999999975</v>
      </c>
      <c r="C18" s="474">
        <f t="shared" si="2"/>
        <v>4.7400000000000038</v>
      </c>
      <c r="D18" s="1250">
        <f t="shared" si="3"/>
        <v>-3.4900000000000011</v>
      </c>
      <c r="E18" s="406">
        <f t="shared" si="4"/>
        <v>-26.699000000000016</v>
      </c>
      <c r="F18" s="441">
        <f t="shared" si="5"/>
        <v>1.5549999999999988</v>
      </c>
      <c r="G18" s="348">
        <f t="shared" si="10"/>
        <v>-1.1800000000000002</v>
      </c>
      <c r="H18" s="373">
        <f t="shared" si="6"/>
        <v>1.3180000000000001</v>
      </c>
      <c r="I18" s="1251">
        <f t="shared" si="7"/>
        <v>6.1110000000000033</v>
      </c>
      <c r="J18" s="1252">
        <f t="shared" si="8"/>
        <v>7.8099999999999969</v>
      </c>
      <c r="K18" s="1253">
        <f t="shared" si="9"/>
        <v>16.600000000000009</v>
      </c>
      <c r="L18" s="1129">
        <v>1</v>
      </c>
      <c r="M18" s="281"/>
      <c r="N18" s="282"/>
    </row>
    <row r="19" spans="1:14" ht="13" customHeight="1" x14ac:dyDescent="0.15">
      <c r="A19" s="1254">
        <v>1.1000000000000001</v>
      </c>
      <c r="B19" s="1249">
        <f t="shared" si="1"/>
        <v>0.81699999999999973</v>
      </c>
      <c r="C19" s="474">
        <f t="shared" si="2"/>
        <v>4.6640000000000041</v>
      </c>
      <c r="D19" s="1250">
        <f t="shared" si="3"/>
        <v>-3.5090000000000012</v>
      </c>
      <c r="E19" s="406">
        <f t="shared" si="4"/>
        <v>-26.699900000000017</v>
      </c>
      <c r="F19" s="441">
        <f t="shared" si="5"/>
        <v>1.5054999999999987</v>
      </c>
      <c r="G19" s="348">
        <f t="shared" si="10"/>
        <v>-1.1980000000000002</v>
      </c>
      <c r="H19" s="373">
        <f t="shared" si="6"/>
        <v>1.2978000000000001</v>
      </c>
      <c r="I19" s="1251">
        <f t="shared" si="7"/>
        <v>6.1021000000000036</v>
      </c>
      <c r="J19" s="1252">
        <f t="shared" si="8"/>
        <v>7.8009999999999966</v>
      </c>
      <c r="K19" s="1253">
        <f t="shared" si="9"/>
        <v>16.560000000000009</v>
      </c>
      <c r="L19" s="1132">
        <v>1.1000000000000001</v>
      </c>
      <c r="M19" s="281"/>
      <c r="N19" s="282"/>
    </row>
    <row r="20" spans="1:14" ht="13" customHeight="1" x14ac:dyDescent="0.15">
      <c r="A20" s="1254">
        <v>1.2</v>
      </c>
      <c r="B20" s="1249">
        <f t="shared" si="1"/>
        <v>0.6639999999999997</v>
      </c>
      <c r="C20" s="474">
        <f t="shared" si="2"/>
        <v>4.5880000000000045</v>
      </c>
      <c r="D20" s="1250">
        <f t="shared" si="3"/>
        <v>-3.5280000000000014</v>
      </c>
      <c r="E20" s="406">
        <f t="shared" si="4"/>
        <v>-26.700800000000019</v>
      </c>
      <c r="F20" s="441">
        <f t="shared" si="5"/>
        <v>1.4559999999999986</v>
      </c>
      <c r="G20" s="348">
        <f t="shared" si="10"/>
        <v>-1.2160000000000002</v>
      </c>
      <c r="H20" s="373">
        <f t="shared" si="6"/>
        <v>1.2776000000000001</v>
      </c>
      <c r="I20" s="1251">
        <f t="shared" si="7"/>
        <v>6.0932000000000039</v>
      </c>
      <c r="J20" s="1252">
        <f t="shared" si="8"/>
        <v>7.7919999999999963</v>
      </c>
      <c r="K20" s="1253">
        <f t="shared" si="9"/>
        <v>16.52000000000001</v>
      </c>
      <c r="L20" s="1132">
        <v>1.2</v>
      </c>
      <c r="M20" s="281"/>
      <c r="N20" s="282"/>
    </row>
    <row r="21" spans="1:14" ht="13" customHeight="1" x14ac:dyDescent="0.15">
      <c r="A21" s="1254">
        <v>1.3</v>
      </c>
      <c r="B21" s="1249">
        <f t="shared" si="1"/>
        <v>0.51099999999999968</v>
      </c>
      <c r="C21" s="474">
        <f t="shared" si="2"/>
        <v>4.5120000000000049</v>
      </c>
      <c r="D21" s="1250">
        <f t="shared" si="3"/>
        <v>-3.5470000000000015</v>
      </c>
      <c r="E21" s="406">
        <f t="shared" si="4"/>
        <v>-26.70170000000002</v>
      </c>
      <c r="F21" s="441">
        <f t="shared" si="5"/>
        <v>1.4064999999999985</v>
      </c>
      <c r="G21" s="348">
        <f t="shared" si="10"/>
        <v>-1.2340000000000002</v>
      </c>
      <c r="H21" s="373">
        <f t="shared" si="6"/>
        <v>1.2574000000000001</v>
      </c>
      <c r="I21" s="1251">
        <f t="shared" si="7"/>
        <v>6.0843000000000043</v>
      </c>
      <c r="J21" s="1252">
        <f t="shared" si="8"/>
        <v>7.7829999999999959</v>
      </c>
      <c r="K21" s="1253">
        <f t="shared" si="9"/>
        <v>16.480000000000011</v>
      </c>
      <c r="L21" s="1132">
        <v>1.3</v>
      </c>
      <c r="M21" s="281"/>
      <c r="N21" s="282"/>
    </row>
    <row r="22" spans="1:14" ht="13" customHeight="1" x14ac:dyDescent="0.15">
      <c r="A22" s="1254">
        <v>1.4</v>
      </c>
      <c r="B22" s="1249">
        <f t="shared" si="1"/>
        <v>0.35799999999999965</v>
      </c>
      <c r="C22" s="474">
        <f t="shared" si="2"/>
        <v>4.4360000000000053</v>
      </c>
      <c r="D22" s="1250">
        <f t="shared" si="3"/>
        <v>-3.5660000000000016</v>
      </c>
      <c r="E22" s="406">
        <f t="shared" si="4"/>
        <v>-26.702600000000022</v>
      </c>
      <c r="F22" s="441">
        <f t="shared" si="5"/>
        <v>1.3569999999999984</v>
      </c>
      <c r="G22" s="348">
        <f t="shared" si="10"/>
        <v>-1.2520000000000002</v>
      </c>
      <c r="H22" s="373">
        <f t="shared" si="6"/>
        <v>1.2372000000000001</v>
      </c>
      <c r="I22" s="1251">
        <f t="shared" si="7"/>
        <v>6.0754000000000046</v>
      </c>
      <c r="J22" s="1252">
        <f t="shared" si="8"/>
        <v>7.7739999999999956</v>
      </c>
      <c r="K22" s="1253">
        <f t="shared" si="9"/>
        <v>16.440000000000012</v>
      </c>
      <c r="L22" s="1132">
        <v>1.4</v>
      </c>
      <c r="M22" s="281"/>
      <c r="N22" s="282"/>
    </row>
    <row r="23" spans="1:14" ht="13" customHeight="1" x14ac:dyDescent="0.15">
      <c r="A23" s="1254">
        <v>1.5</v>
      </c>
      <c r="B23" s="1249">
        <f t="shared" si="1"/>
        <v>0.20499999999999965</v>
      </c>
      <c r="C23" s="474">
        <f t="shared" si="2"/>
        <v>4.3600000000000056</v>
      </c>
      <c r="D23" s="1250">
        <f t="shared" si="3"/>
        <v>-3.5850000000000017</v>
      </c>
      <c r="E23" s="406">
        <f t="shared" si="4"/>
        <v>-26.703500000000023</v>
      </c>
      <c r="F23" s="441">
        <f t="shared" si="5"/>
        <v>1.3074999999999983</v>
      </c>
      <c r="G23" s="348">
        <f t="shared" si="10"/>
        <v>-1.2700000000000002</v>
      </c>
      <c r="H23" s="373">
        <f t="shared" si="6"/>
        <v>1.2170000000000001</v>
      </c>
      <c r="I23" s="1251">
        <f t="shared" si="7"/>
        <v>6.0665000000000049</v>
      </c>
      <c r="J23" s="1252">
        <f t="shared" si="8"/>
        <v>7.7649999999999952</v>
      </c>
      <c r="K23" s="1253">
        <f t="shared" si="9"/>
        <v>16.400000000000013</v>
      </c>
      <c r="L23" s="1132">
        <v>1.5</v>
      </c>
      <c r="M23" s="281"/>
      <c r="N23" s="282"/>
    </row>
    <row r="24" spans="1:14" ht="13" customHeight="1" x14ac:dyDescent="0.15">
      <c r="A24" s="1254">
        <v>1.6</v>
      </c>
      <c r="B24" s="1249">
        <f t="shared" si="1"/>
        <v>5.1999999999999658E-2</v>
      </c>
      <c r="C24" s="474">
        <f t="shared" si="2"/>
        <v>4.284000000000006</v>
      </c>
      <c r="D24" s="1250">
        <f t="shared" si="3"/>
        <v>-3.6040000000000019</v>
      </c>
      <c r="E24" s="406">
        <f t="shared" si="4"/>
        <v>-26.704400000000025</v>
      </c>
      <c r="F24" s="441">
        <f t="shared" si="5"/>
        <v>1.2579999999999982</v>
      </c>
      <c r="G24" s="348">
        <f t="shared" si="10"/>
        <v>-1.2880000000000003</v>
      </c>
      <c r="H24" s="373">
        <f t="shared" si="6"/>
        <v>1.1968000000000001</v>
      </c>
      <c r="I24" s="1251">
        <f t="shared" si="7"/>
        <v>6.0576000000000052</v>
      </c>
      <c r="J24" s="1252">
        <f t="shared" si="8"/>
        <v>7.7559999999999949</v>
      </c>
      <c r="K24" s="1253">
        <f t="shared" si="9"/>
        <v>16.360000000000014</v>
      </c>
      <c r="L24" s="1132">
        <v>1.6</v>
      </c>
      <c r="M24" s="281"/>
      <c r="N24" s="282"/>
    </row>
    <row r="25" spans="1:14" ht="13" customHeight="1" x14ac:dyDescent="0.15">
      <c r="A25" s="1254">
        <v>1.7</v>
      </c>
      <c r="B25" s="1249">
        <f t="shared" si="1"/>
        <v>-0.10100000000000034</v>
      </c>
      <c r="C25" s="474">
        <f t="shared" si="2"/>
        <v>4.2080000000000064</v>
      </c>
      <c r="D25" s="1250">
        <f t="shared" si="3"/>
        <v>-3.623000000000002</v>
      </c>
      <c r="E25" s="406">
        <f t="shared" si="4"/>
        <v>-26.705300000000026</v>
      </c>
      <c r="F25" s="441">
        <f t="shared" si="5"/>
        <v>1.2084999999999981</v>
      </c>
      <c r="G25" s="348">
        <f t="shared" si="10"/>
        <v>-1.3060000000000003</v>
      </c>
      <c r="H25" s="373">
        <f t="shared" si="6"/>
        <v>1.1766000000000001</v>
      </c>
      <c r="I25" s="1251">
        <f t="shared" si="7"/>
        <v>6.0487000000000055</v>
      </c>
      <c r="J25" s="1252">
        <f t="shared" si="8"/>
        <v>7.7469999999999946</v>
      </c>
      <c r="K25" s="1253">
        <f t="shared" si="9"/>
        <v>16.320000000000014</v>
      </c>
      <c r="L25" s="1132">
        <v>1.7</v>
      </c>
      <c r="M25" s="281"/>
      <c r="N25" s="282"/>
    </row>
    <row r="26" spans="1:14" ht="13" customHeight="1" x14ac:dyDescent="0.15">
      <c r="A26" s="1254">
        <v>1.8</v>
      </c>
      <c r="B26" s="1249">
        <f t="shared" si="1"/>
        <v>-0.25400000000000034</v>
      </c>
      <c r="C26" s="474">
        <f t="shared" si="2"/>
        <v>4.1320000000000068</v>
      </c>
      <c r="D26" s="1250">
        <f t="shared" si="3"/>
        <v>-3.6420000000000021</v>
      </c>
      <c r="E26" s="406">
        <f t="shared" si="4"/>
        <v>-26.706200000000027</v>
      </c>
      <c r="F26" s="441">
        <f t="shared" si="5"/>
        <v>1.158999999999998</v>
      </c>
      <c r="G26" s="348">
        <f t="shared" si="10"/>
        <v>-1.3240000000000003</v>
      </c>
      <c r="H26" s="373">
        <f t="shared" si="6"/>
        <v>1.1564000000000001</v>
      </c>
      <c r="I26" s="1251">
        <f t="shared" si="7"/>
        <v>6.0398000000000058</v>
      </c>
      <c r="J26" s="1252">
        <f t="shared" si="8"/>
        <v>7.7379999999999942</v>
      </c>
      <c r="K26" s="1253">
        <f t="shared" si="9"/>
        <v>16.280000000000015</v>
      </c>
      <c r="L26" s="1132">
        <v>1.8</v>
      </c>
      <c r="M26" s="281"/>
      <c r="N26" s="282"/>
    </row>
    <row r="27" spans="1:14" ht="13" customHeight="1" x14ac:dyDescent="0.15">
      <c r="A27" s="1254">
        <v>1.9</v>
      </c>
      <c r="B27" s="1249">
        <f t="shared" si="1"/>
        <v>-0.40700000000000036</v>
      </c>
      <c r="C27" s="474">
        <f t="shared" si="2"/>
        <v>4.0560000000000072</v>
      </c>
      <c r="D27" s="1250">
        <f t="shared" si="3"/>
        <v>-3.6610000000000023</v>
      </c>
      <c r="E27" s="406">
        <f t="shared" si="4"/>
        <v>-26.707100000000029</v>
      </c>
      <c r="F27" s="441">
        <f t="shared" si="5"/>
        <v>1.1094999999999979</v>
      </c>
      <c r="G27" s="348">
        <f t="shared" si="10"/>
        <v>-1.3420000000000003</v>
      </c>
      <c r="H27" s="373">
        <f t="shared" si="6"/>
        <v>1.1362000000000001</v>
      </c>
      <c r="I27" s="1251">
        <f t="shared" si="7"/>
        <v>6.0309000000000061</v>
      </c>
      <c r="J27" s="1252">
        <f t="shared" si="8"/>
        <v>7.7289999999999939</v>
      </c>
      <c r="K27" s="1253">
        <f t="shared" si="9"/>
        <v>16.240000000000016</v>
      </c>
      <c r="L27" s="1132">
        <v>1.9</v>
      </c>
      <c r="M27" s="281"/>
      <c r="N27" s="282"/>
    </row>
    <row r="28" spans="1:14" ht="15" customHeight="1" x14ac:dyDescent="0.15">
      <c r="A28" s="1248">
        <v>2</v>
      </c>
      <c r="B28" s="1249">
        <f t="shared" si="1"/>
        <v>-0.56000000000000039</v>
      </c>
      <c r="C28" s="474">
        <f t="shared" si="2"/>
        <v>3.9800000000000071</v>
      </c>
      <c r="D28" s="1250">
        <f t="shared" si="3"/>
        <v>-3.6800000000000024</v>
      </c>
      <c r="E28" s="406">
        <f t="shared" si="4"/>
        <v>-26.70800000000003</v>
      </c>
      <c r="F28" s="441">
        <f t="shared" si="5"/>
        <v>1.0599999999999978</v>
      </c>
      <c r="G28" s="348">
        <f t="shared" si="10"/>
        <v>-1.3600000000000003</v>
      </c>
      <c r="H28" s="373">
        <f t="shared" si="6"/>
        <v>1.1160000000000001</v>
      </c>
      <c r="I28" s="1251">
        <f t="shared" si="7"/>
        <v>6.0220000000000065</v>
      </c>
      <c r="J28" s="1252">
        <f t="shared" si="8"/>
        <v>7.7199999999999935</v>
      </c>
      <c r="K28" s="1253">
        <f t="shared" si="9"/>
        <v>16.200000000000017</v>
      </c>
      <c r="L28" s="1129">
        <v>2</v>
      </c>
      <c r="M28" s="281"/>
      <c r="N28" s="282"/>
    </row>
    <row r="29" spans="1:14" ht="13" customHeight="1" x14ac:dyDescent="0.15">
      <c r="A29" s="1254">
        <v>2.1</v>
      </c>
      <c r="B29" s="1249">
        <f t="shared" si="1"/>
        <v>-0.71300000000000041</v>
      </c>
      <c r="C29" s="474">
        <f t="shared" si="2"/>
        <v>3.904000000000007</v>
      </c>
      <c r="D29" s="1250">
        <f t="shared" si="3"/>
        <v>-3.6990000000000025</v>
      </c>
      <c r="E29" s="406">
        <f t="shared" si="4"/>
        <v>-26.708900000000032</v>
      </c>
      <c r="F29" s="441">
        <f t="shared" si="5"/>
        <v>1.0104999999999977</v>
      </c>
      <c r="G29" s="348">
        <f t="shared" si="10"/>
        <v>-1.3780000000000003</v>
      </c>
      <c r="H29" s="373">
        <f t="shared" si="6"/>
        <v>1.0958000000000001</v>
      </c>
      <c r="I29" s="1251">
        <f t="shared" si="7"/>
        <v>6.0131000000000068</v>
      </c>
      <c r="J29" s="1252">
        <f t="shared" si="8"/>
        <v>7.7109999999999932</v>
      </c>
      <c r="K29" s="1253">
        <f t="shared" si="9"/>
        <v>16.160000000000018</v>
      </c>
      <c r="L29" s="1132">
        <v>2.1</v>
      </c>
      <c r="M29" s="281"/>
      <c r="N29" s="282"/>
    </row>
    <row r="30" spans="1:14" ht="13" customHeight="1" x14ac:dyDescent="0.15">
      <c r="A30" s="1254">
        <v>2.2000000000000002</v>
      </c>
      <c r="B30" s="1249">
        <f t="shared" si="1"/>
        <v>-0.86600000000000044</v>
      </c>
      <c r="C30" s="474">
        <f t="shared" si="2"/>
        <v>3.828000000000007</v>
      </c>
      <c r="D30" s="1250">
        <f t="shared" si="3"/>
        <v>-3.7180000000000026</v>
      </c>
      <c r="E30" s="406">
        <f t="shared" si="4"/>
        <v>-26.709800000000033</v>
      </c>
      <c r="F30" s="441">
        <f t="shared" si="5"/>
        <v>0.96099999999999774</v>
      </c>
      <c r="G30" s="348">
        <f t="shared" si="10"/>
        <v>-1.3960000000000004</v>
      </c>
      <c r="H30" s="373">
        <f t="shared" si="6"/>
        <v>1.0756000000000001</v>
      </c>
      <c r="I30" s="1251">
        <f t="shared" si="7"/>
        <v>6.0042000000000071</v>
      </c>
      <c r="J30" s="1252">
        <f t="shared" si="8"/>
        <v>7.7019999999999929</v>
      </c>
      <c r="K30" s="1253">
        <f t="shared" si="9"/>
        <v>16.120000000000019</v>
      </c>
      <c r="L30" s="1132">
        <v>2.2000000000000002</v>
      </c>
      <c r="M30" s="281"/>
      <c r="N30" s="282"/>
    </row>
    <row r="31" spans="1:14" ht="13" customHeight="1" x14ac:dyDescent="0.15">
      <c r="A31" s="1254">
        <v>2.2999999999999998</v>
      </c>
      <c r="B31" s="1249">
        <f t="shared" si="1"/>
        <v>-1.0190000000000003</v>
      </c>
      <c r="C31" s="474">
        <f t="shared" si="2"/>
        <v>3.7520000000000069</v>
      </c>
      <c r="D31" s="1250">
        <f t="shared" si="3"/>
        <v>-3.7370000000000028</v>
      </c>
      <c r="E31" s="406">
        <f t="shared" si="4"/>
        <v>-26.710700000000035</v>
      </c>
      <c r="F31" s="441">
        <f t="shared" si="5"/>
        <v>0.91149999999999776</v>
      </c>
      <c r="G31" s="348">
        <f t="shared" si="10"/>
        <v>-1.4140000000000004</v>
      </c>
      <c r="H31" s="373">
        <f t="shared" si="6"/>
        <v>1.0554000000000001</v>
      </c>
      <c r="I31" s="1251">
        <f t="shared" si="7"/>
        <v>5.9953000000000074</v>
      </c>
      <c r="J31" s="1252">
        <f t="shared" si="8"/>
        <v>7.6929999999999925</v>
      </c>
      <c r="K31" s="1253">
        <f t="shared" si="9"/>
        <v>16.08000000000002</v>
      </c>
      <c r="L31" s="1132">
        <v>2.2999999999999998</v>
      </c>
      <c r="M31" s="281"/>
      <c r="N31" s="282"/>
    </row>
    <row r="32" spans="1:14" ht="13" customHeight="1" x14ac:dyDescent="0.15">
      <c r="A32" s="1254">
        <v>2.4</v>
      </c>
      <c r="B32" s="1249">
        <f t="shared" si="1"/>
        <v>-1.1720000000000004</v>
      </c>
      <c r="C32" s="474">
        <f t="shared" si="2"/>
        <v>3.6760000000000068</v>
      </c>
      <c r="D32" s="1250">
        <f t="shared" si="3"/>
        <v>-3.7560000000000029</v>
      </c>
      <c r="E32" s="406">
        <f t="shared" si="4"/>
        <v>-26.711600000000036</v>
      </c>
      <c r="F32" s="441">
        <f t="shared" si="5"/>
        <v>0.86199999999999777</v>
      </c>
      <c r="G32" s="348">
        <f t="shared" si="10"/>
        <v>-1.4320000000000004</v>
      </c>
      <c r="H32" s="373">
        <f t="shared" si="6"/>
        <v>1.0352000000000001</v>
      </c>
      <c r="I32" s="1251">
        <f t="shared" si="7"/>
        <v>5.9864000000000077</v>
      </c>
      <c r="J32" s="1252">
        <f t="shared" si="8"/>
        <v>7.6839999999999922</v>
      </c>
      <c r="K32" s="1253">
        <f t="shared" si="9"/>
        <v>16.04000000000002</v>
      </c>
      <c r="L32" s="1132">
        <v>2.4</v>
      </c>
      <c r="M32" s="281"/>
      <c r="N32" s="282"/>
    </row>
    <row r="33" spans="1:14" ht="13" customHeight="1" x14ac:dyDescent="0.15">
      <c r="A33" s="1254">
        <v>2.5</v>
      </c>
      <c r="B33" s="1249">
        <f t="shared" si="1"/>
        <v>-1.3250000000000004</v>
      </c>
      <c r="C33" s="474">
        <f t="shared" si="2"/>
        <v>3.6000000000000068</v>
      </c>
      <c r="D33" s="1250">
        <f t="shared" si="3"/>
        <v>-3.775000000000003</v>
      </c>
      <c r="E33" s="406">
        <f t="shared" si="4"/>
        <v>-26.712500000000038</v>
      </c>
      <c r="F33" s="441">
        <f t="shared" si="5"/>
        <v>0.81249999999999778</v>
      </c>
      <c r="G33" s="348">
        <f t="shared" si="10"/>
        <v>-1.4500000000000004</v>
      </c>
      <c r="H33" s="373">
        <f t="shared" si="6"/>
        <v>1.0150000000000001</v>
      </c>
      <c r="I33" s="1251">
        <f t="shared" si="7"/>
        <v>5.977500000000008</v>
      </c>
      <c r="J33" s="1252">
        <f t="shared" si="8"/>
        <v>7.6749999999999918</v>
      </c>
      <c r="K33" s="1253">
        <f t="shared" si="9"/>
        <v>16.000000000000021</v>
      </c>
      <c r="L33" s="1132">
        <v>2.5</v>
      </c>
      <c r="M33" s="281"/>
      <c r="N33" s="282"/>
    </row>
    <row r="34" spans="1:14" ht="13" customHeight="1" x14ac:dyDescent="0.15">
      <c r="A34" s="1254">
        <v>2.6</v>
      </c>
      <c r="B34" s="1249">
        <f t="shared" si="1"/>
        <v>-1.4780000000000004</v>
      </c>
      <c r="C34" s="474">
        <f t="shared" si="2"/>
        <v>3.5240000000000067</v>
      </c>
      <c r="D34" s="1250">
        <f t="shared" si="3"/>
        <v>-3.7940000000000031</v>
      </c>
      <c r="E34" s="406">
        <f t="shared" si="4"/>
        <v>-26.713400000000039</v>
      </c>
      <c r="F34" s="441">
        <f t="shared" si="5"/>
        <v>0.76299999999999779</v>
      </c>
      <c r="G34" s="348">
        <f t="shared" si="10"/>
        <v>-1.4680000000000004</v>
      </c>
      <c r="H34" s="373">
        <f t="shared" si="6"/>
        <v>0.99480000000000013</v>
      </c>
      <c r="I34" s="1251">
        <f t="shared" si="7"/>
        <v>5.9686000000000083</v>
      </c>
      <c r="J34" s="1252">
        <f t="shared" si="8"/>
        <v>7.6659999999999915</v>
      </c>
      <c r="K34" s="1253">
        <f t="shared" si="9"/>
        <v>15.960000000000022</v>
      </c>
      <c r="L34" s="1132">
        <v>2.6</v>
      </c>
      <c r="M34" s="281"/>
      <c r="N34" s="282"/>
    </row>
    <row r="35" spans="1:14" ht="13" customHeight="1" x14ac:dyDescent="0.15">
      <c r="A35" s="1254">
        <v>2.7</v>
      </c>
      <c r="B35" s="1249">
        <f t="shared" si="1"/>
        <v>-1.6310000000000004</v>
      </c>
      <c r="C35" s="474">
        <f t="shared" si="2"/>
        <v>3.4480000000000066</v>
      </c>
      <c r="D35" s="1250">
        <f t="shared" si="3"/>
        <v>-3.8130000000000033</v>
      </c>
      <c r="E35" s="406">
        <f t="shared" si="4"/>
        <v>-26.714300000000041</v>
      </c>
      <c r="F35" s="441">
        <f t="shared" si="5"/>
        <v>0.7134999999999978</v>
      </c>
      <c r="G35" s="348">
        <f t="shared" si="10"/>
        <v>-1.4860000000000004</v>
      </c>
      <c r="H35" s="373">
        <f t="shared" si="6"/>
        <v>0.97460000000000013</v>
      </c>
      <c r="I35" s="1251">
        <f t="shared" si="7"/>
        <v>5.9597000000000087</v>
      </c>
      <c r="J35" s="1252">
        <f t="shared" si="8"/>
        <v>7.6569999999999911</v>
      </c>
      <c r="K35" s="1253">
        <f t="shared" si="9"/>
        <v>15.920000000000023</v>
      </c>
      <c r="L35" s="1132">
        <v>2.7</v>
      </c>
      <c r="M35" s="281"/>
      <c r="N35" s="282"/>
    </row>
    <row r="36" spans="1:14" ht="13" customHeight="1" x14ac:dyDescent="0.15">
      <c r="A36" s="1254">
        <v>2.8</v>
      </c>
      <c r="B36" s="1249">
        <f t="shared" si="1"/>
        <v>-1.7840000000000005</v>
      </c>
      <c r="C36" s="474">
        <f t="shared" si="2"/>
        <v>3.3720000000000065</v>
      </c>
      <c r="D36" s="1250">
        <f t="shared" si="3"/>
        <v>-3.8320000000000034</v>
      </c>
      <c r="E36" s="406">
        <f t="shared" si="4"/>
        <v>-26.715200000000042</v>
      </c>
      <c r="F36" s="441">
        <f t="shared" si="5"/>
        <v>0.66399999999999781</v>
      </c>
      <c r="G36" s="348">
        <f t="shared" si="10"/>
        <v>-1.5040000000000004</v>
      </c>
      <c r="H36" s="373">
        <f t="shared" si="6"/>
        <v>0.95440000000000014</v>
      </c>
      <c r="I36" s="1251">
        <f t="shared" si="7"/>
        <v>5.950800000000009</v>
      </c>
      <c r="J36" s="1252">
        <f t="shared" si="8"/>
        <v>7.6479999999999908</v>
      </c>
      <c r="K36" s="1253">
        <f t="shared" si="9"/>
        <v>15.880000000000024</v>
      </c>
      <c r="L36" s="1132">
        <v>2.8</v>
      </c>
      <c r="M36" s="281"/>
      <c r="N36" s="282"/>
    </row>
    <row r="37" spans="1:14" ht="13" customHeight="1" x14ac:dyDescent="0.15">
      <c r="A37" s="1254">
        <v>2.9</v>
      </c>
      <c r="B37" s="1249">
        <f t="shared" si="1"/>
        <v>-1.9370000000000005</v>
      </c>
      <c r="C37" s="474">
        <f t="shared" si="2"/>
        <v>3.2960000000000065</v>
      </c>
      <c r="D37" s="1250">
        <f t="shared" si="3"/>
        <v>-3.8510000000000035</v>
      </c>
      <c r="E37" s="406">
        <f t="shared" si="4"/>
        <v>-26.716100000000043</v>
      </c>
      <c r="F37" s="441">
        <f t="shared" si="5"/>
        <v>0.61449999999999783</v>
      </c>
      <c r="G37" s="348">
        <f t="shared" si="10"/>
        <v>-1.5220000000000005</v>
      </c>
      <c r="H37" s="373">
        <f t="shared" si="6"/>
        <v>0.93420000000000014</v>
      </c>
      <c r="I37" s="1251">
        <f t="shared" si="7"/>
        <v>5.9419000000000093</v>
      </c>
      <c r="J37" s="1252">
        <f t="shared" si="8"/>
        <v>7.6389999999999905</v>
      </c>
      <c r="K37" s="1253">
        <f t="shared" si="9"/>
        <v>15.840000000000025</v>
      </c>
      <c r="L37" s="1132">
        <v>2.9</v>
      </c>
      <c r="M37" s="281"/>
      <c r="N37" s="282"/>
    </row>
    <row r="38" spans="1:14" ht="15" customHeight="1" x14ac:dyDescent="0.15">
      <c r="A38" s="1248">
        <v>3</v>
      </c>
      <c r="B38" s="1249">
        <f t="shared" si="1"/>
        <v>-2.0900000000000003</v>
      </c>
      <c r="C38" s="474">
        <f t="shared" si="2"/>
        <v>3.2200000000000064</v>
      </c>
      <c r="D38" s="1250">
        <f t="shared" si="3"/>
        <v>-3.8700000000000037</v>
      </c>
      <c r="E38" s="406">
        <f t="shared" si="4"/>
        <v>-26.717000000000045</v>
      </c>
      <c r="F38" s="441">
        <f t="shared" si="5"/>
        <v>0.56499999999999784</v>
      </c>
      <c r="G38" s="348">
        <f t="shared" si="10"/>
        <v>-1.5400000000000005</v>
      </c>
      <c r="H38" s="373">
        <f t="shared" si="6"/>
        <v>0.91400000000000015</v>
      </c>
      <c r="I38" s="1251">
        <f t="shared" si="7"/>
        <v>5.9330000000000096</v>
      </c>
      <c r="J38" s="1252">
        <f t="shared" si="8"/>
        <v>7.6299999999999901</v>
      </c>
      <c r="K38" s="1253">
        <f t="shared" si="9"/>
        <v>15.800000000000026</v>
      </c>
      <c r="L38" s="1129">
        <v>3</v>
      </c>
      <c r="M38" s="281"/>
      <c r="N38" s="282"/>
    </row>
    <row r="39" spans="1:14" ht="13" customHeight="1" x14ac:dyDescent="0.15">
      <c r="A39" s="1254">
        <v>3.1</v>
      </c>
      <c r="B39" s="1249">
        <f t="shared" si="1"/>
        <v>-2.2430000000000003</v>
      </c>
      <c r="C39" s="474">
        <f t="shared" si="2"/>
        <v>3.1440000000000063</v>
      </c>
      <c r="D39" s="1250">
        <f t="shared" si="3"/>
        <v>-3.8890000000000038</v>
      </c>
      <c r="E39" s="406">
        <f t="shared" si="4"/>
        <v>-26.717900000000046</v>
      </c>
      <c r="F39" s="441">
        <f t="shared" si="5"/>
        <v>0.51549999999999785</v>
      </c>
      <c r="G39" s="348">
        <f t="shared" si="10"/>
        <v>-1.5580000000000005</v>
      </c>
      <c r="H39" s="373">
        <f t="shared" si="6"/>
        <v>0.89380000000000015</v>
      </c>
      <c r="I39" s="1251">
        <f t="shared" si="7"/>
        <v>5.9241000000000099</v>
      </c>
      <c r="J39" s="1252">
        <f t="shared" si="8"/>
        <v>7.6209999999999898</v>
      </c>
      <c r="K39" s="1253">
        <f t="shared" si="9"/>
        <v>15.760000000000026</v>
      </c>
      <c r="L39" s="1132">
        <v>3.1</v>
      </c>
      <c r="M39" s="281"/>
      <c r="N39" s="282"/>
    </row>
    <row r="40" spans="1:14" ht="13" customHeight="1" x14ac:dyDescent="0.15">
      <c r="A40" s="1254">
        <v>3.2</v>
      </c>
      <c r="B40" s="1249">
        <f t="shared" si="1"/>
        <v>-2.3960000000000004</v>
      </c>
      <c r="C40" s="474">
        <f t="shared" si="2"/>
        <v>3.0680000000000063</v>
      </c>
      <c r="D40" s="1250">
        <f t="shared" si="3"/>
        <v>-3.9080000000000039</v>
      </c>
      <c r="E40" s="406">
        <f t="shared" si="4"/>
        <v>-26.718800000000048</v>
      </c>
      <c r="F40" s="441">
        <f t="shared" si="5"/>
        <v>0.46599999999999786</v>
      </c>
      <c r="G40" s="348">
        <f t="shared" si="10"/>
        <v>-1.5760000000000005</v>
      </c>
      <c r="H40" s="373">
        <f t="shared" si="6"/>
        <v>0.87360000000000015</v>
      </c>
      <c r="I40" s="1251">
        <f t="shared" si="7"/>
        <v>5.9152000000000102</v>
      </c>
      <c r="J40" s="1252">
        <f t="shared" si="8"/>
        <v>7.6119999999999894</v>
      </c>
      <c r="K40" s="1253">
        <f t="shared" si="9"/>
        <v>15.720000000000027</v>
      </c>
      <c r="L40" s="1132">
        <v>3.2</v>
      </c>
      <c r="M40" s="281"/>
      <c r="N40" s="282"/>
    </row>
    <row r="41" spans="1:14" ht="13" customHeight="1" x14ac:dyDescent="0.15">
      <c r="A41" s="1254">
        <v>3.3</v>
      </c>
      <c r="B41" s="1249">
        <f t="shared" ref="B41:B72" si="11">B40-0.153</f>
        <v>-2.5490000000000004</v>
      </c>
      <c r="C41" s="474">
        <f t="shared" ref="C41:C72" si="12">C40-0.076</f>
        <v>2.9920000000000062</v>
      </c>
      <c r="D41" s="1250">
        <f t="shared" ref="D41:D72" si="13">D40-0.019</f>
        <v>-3.927000000000004</v>
      </c>
      <c r="E41" s="406">
        <f t="shared" ref="E41:E72" si="14">E40-0.0009</f>
        <v>-26.719700000000049</v>
      </c>
      <c r="F41" s="441">
        <f t="shared" ref="F41:F72" si="15">F40-0.0495</f>
        <v>0.41649999999999787</v>
      </c>
      <c r="G41" s="348">
        <f t="shared" si="10"/>
        <v>-1.5940000000000005</v>
      </c>
      <c r="H41" s="373">
        <f t="shared" ref="H41:H72" si="16">H40-0.0202</f>
        <v>0.85340000000000016</v>
      </c>
      <c r="I41" s="1251">
        <f t="shared" ref="I41:I72" si="17">I40-0.0089</f>
        <v>5.9063000000000105</v>
      </c>
      <c r="J41" s="1252">
        <f t="shared" ref="J41:J72" si="18">J40-0.009</f>
        <v>7.6029999999999891</v>
      </c>
      <c r="K41" s="1253">
        <f t="shared" ref="K41:K72" si="19">K40-0.04</f>
        <v>15.680000000000028</v>
      </c>
      <c r="L41" s="1132">
        <v>3.3</v>
      </c>
      <c r="M41" s="281"/>
      <c r="N41" s="282"/>
    </row>
    <row r="42" spans="1:14" ht="13" customHeight="1" x14ac:dyDescent="0.15">
      <c r="A42" s="1254">
        <v>3.4</v>
      </c>
      <c r="B42" s="1249">
        <f t="shared" si="11"/>
        <v>-2.7020000000000004</v>
      </c>
      <c r="C42" s="474">
        <f t="shared" si="12"/>
        <v>2.9160000000000061</v>
      </c>
      <c r="D42" s="1250">
        <f t="shared" si="13"/>
        <v>-3.9460000000000042</v>
      </c>
      <c r="E42" s="406">
        <f t="shared" si="14"/>
        <v>-26.720600000000051</v>
      </c>
      <c r="F42" s="441">
        <f t="shared" si="15"/>
        <v>0.36699999999999788</v>
      </c>
      <c r="G42" s="348">
        <f t="shared" si="10"/>
        <v>-1.6120000000000005</v>
      </c>
      <c r="H42" s="373">
        <f t="shared" si="16"/>
        <v>0.83320000000000016</v>
      </c>
      <c r="I42" s="1251">
        <f t="shared" si="17"/>
        <v>5.8974000000000109</v>
      </c>
      <c r="J42" s="1252">
        <f t="shared" si="18"/>
        <v>7.5939999999999888</v>
      </c>
      <c r="K42" s="1253">
        <f t="shared" si="19"/>
        <v>15.640000000000029</v>
      </c>
      <c r="L42" s="1132">
        <v>3.4</v>
      </c>
      <c r="M42" s="281"/>
      <c r="N42" s="282"/>
    </row>
    <row r="43" spans="1:14" ht="13" customHeight="1" x14ac:dyDescent="0.15">
      <c r="A43" s="1254">
        <v>3.5</v>
      </c>
      <c r="B43" s="1249">
        <f t="shared" si="11"/>
        <v>-2.8550000000000004</v>
      </c>
      <c r="C43" s="474">
        <f t="shared" si="12"/>
        <v>2.8400000000000061</v>
      </c>
      <c r="D43" s="1250">
        <f t="shared" si="13"/>
        <v>-3.9650000000000043</v>
      </c>
      <c r="E43" s="406">
        <f t="shared" si="14"/>
        <v>-26.721500000000052</v>
      </c>
      <c r="F43" s="441">
        <f t="shared" si="15"/>
        <v>0.3174999999999979</v>
      </c>
      <c r="G43" s="348">
        <f t="shared" si="10"/>
        <v>-1.6300000000000006</v>
      </c>
      <c r="H43" s="373">
        <f t="shared" si="16"/>
        <v>0.81300000000000017</v>
      </c>
      <c r="I43" s="1251">
        <f t="shared" si="17"/>
        <v>5.8885000000000112</v>
      </c>
      <c r="J43" s="1252">
        <f t="shared" si="18"/>
        <v>7.5849999999999884</v>
      </c>
      <c r="K43" s="1253">
        <f t="shared" si="19"/>
        <v>15.60000000000003</v>
      </c>
      <c r="L43" s="1132">
        <v>3.5</v>
      </c>
      <c r="M43" s="281"/>
      <c r="N43" s="282"/>
    </row>
    <row r="44" spans="1:14" ht="13" customHeight="1" x14ac:dyDescent="0.15">
      <c r="A44" s="1254">
        <v>3.6</v>
      </c>
      <c r="B44" s="1249">
        <f t="shared" si="11"/>
        <v>-3.0080000000000005</v>
      </c>
      <c r="C44" s="474">
        <f t="shared" si="12"/>
        <v>2.764000000000006</v>
      </c>
      <c r="D44" s="1250">
        <f t="shared" si="13"/>
        <v>-3.9840000000000044</v>
      </c>
      <c r="E44" s="406">
        <f t="shared" si="14"/>
        <v>-26.722400000000054</v>
      </c>
      <c r="F44" s="441">
        <f t="shared" si="15"/>
        <v>0.26799999999999791</v>
      </c>
      <c r="G44" s="348">
        <f t="shared" si="10"/>
        <v>-1.6480000000000006</v>
      </c>
      <c r="H44" s="373">
        <f t="shared" si="16"/>
        <v>0.79280000000000017</v>
      </c>
      <c r="I44" s="1251">
        <f t="shared" si="17"/>
        <v>5.8796000000000115</v>
      </c>
      <c r="J44" s="1252">
        <f t="shared" si="18"/>
        <v>7.5759999999999881</v>
      </c>
      <c r="K44" s="1253">
        <f t="shared" si="19"/>
        <v>15.560000000000031</v>
      </c>
      <c r="L44" s="1132">
        <v>3.6</v>
      </c>
      <c r="M44" s="281"/>
      <c r="N44" s="282"/>
    </row>
    <row r="45" spans="1:14" ht="13" customHeight="1" x14ac:dyDescent="0.15">
      <c r="A45" s="1254">
        <v>3.7</v>
      </c>
      <c r="B45" s="1249">
        <f t="shared" si="11"/>
        <v>-3.1610000000000005</v>
      </c>
      <c r="C45" s="474">
        <f t="shared" si="12"/>
        <v>2.6880000000000059</v>
      </c>
      <c r="D45" s="1250">
        <f t="shared" si="13"/>
        <v>-4.0030000000000046</v>
      </c>
      <c r="E45" s="406">
        <f t="shared" si="14"/>
        <v>-26.723300000000055</v>
      </c>
      <c r="F45" s="441">
        <f t="shared" si="15"/>
        <v>0.21849999999999792</v>
      </c>
      <c r="G45" s="348">
        <f t="shared" si="10"/>
        <v>-1.6660000000000006</v>
      </c>
      <c r="H45" s="373">
        <f t="shared" si="16"/>
        <v>0.77260000000000018</v>
      </c>
      <c r="I45" s="1251">
        <f t="shared" si="17"/>
        <v>5.8707000000000118</v>
      </c>
      <c r="J45" s="1252">
        <f t="shared" si="18"/>
        <v>7.5669999999999877</v>
      </c>
      <c r="K45" s="1253">
        <f t="shared" si="19"/>
        <v>15.520000000000032</v>
      </c>
      <c r="L45" s="1132">
        <v>3.7</v>
      </c>
      <c r="M45" s="281"/>
      <c r="N45" s="282"/>
    </row>
    <row r="46" spans="1:14" ht="13" customHeight="1" x14ac:dyDescent="0.15">
      <c r="A46" s="1254">
        <v>3.8</v>
      </c>
      <c r="B46" s="1249">
        <f t="shared" si="11"/>
        <v>-3.3140000000000005</v>
      </c>
      <c r="C46" s="474">
        <f t="shared" si="12"/>
        <v>2.6120000000000059</v>
      </c>
      <c r="D46" s="1250">
        <f t="shared" si="13"/>
        <v>-4.0220000000000047</v>
      </c>
      <c r="E46" s="406">
        <f t="shared" si="14"/>
        <v>-26.724200000000057</v>
      </c>
      <c r="F46" s="441">
        <f t="shared" si="15"/>
        <v>0.16899999999999793</v>
      </c>
      <c r="G46" s="348">
        <f t="shared" si="10"/>
        <v>-1.6840000000000006</v>
      </c>
      <c r="H46" s="373">
        <f t="shared" si="16"/>
        <v>0.75240000000000018</v>
      </c>
      <c r="I46" s="1251">
        <f t="shared" si="17"/>
        <v>5.8618000000000121</v>
      </c>
      <c r="J46" s="1252">
        <f t="shared" si="18"/>
        <v>7.5579999999999874</v>
      </c>
      <c r="K46" s="1253">
        <f t="shared" si="19"/>
        <v>15.480000000000032</v>
      </c>
      <c r="L46" s="1132">
        <v>3.8</v>
      </c>
      <c r="M46" s="281"/>
      <c r="N46" s="282"/>
    </row>
    <row r="47" spans="1:14" ht="13" customHeight="1" x14ac:dyDescent="0.15">
      <c r="A47" s="1254">
        <v>3.9</v>
      </c>
      <c r="B47" s="1249">
        <f t="shared" si="11"/>
        <v>-3.4670000000000005</v>
      </c>
      <c r="C47" s="474">
        <f t="shared" si="12"/>
        <v>2.5360000000000058</v>
      </c>
      <c r="D47" s="1250">
        <f t="shared" si="13"/>
        <v>-4.0410000000000048</v>
      </c>
      <c r="E47" s="406">
        <f t="shared" si="14"/>
        <v>-26.725100000000058</v>
      </c>
      <c r="F47" s="441">
        <f t="shared" si="15"/>
        <v>0.11949999999999793</v>
      </c>
      <c r="G47" s="348">
        <f t="shared" si="10"/>
        <v>-1.7020000000000006</v>
      </c>
      <c r="H47" s="373">
        <f t="shared" si="16"/>
        <v>0.73220000000000018</v>
      </c>
      <c r="I47" s="1251">
        <f t="shared" si="17"/>
        <v>5.8529000000000124</v>
      </c>
      <c r="J47" s="1252">
        <f t="shared" si="18"/>
        <v>7.5489999999999871</v>
      </c>
      <c r="K47" s="1253">
        <f t="shared" si="19"/>
        <v>15.440000000000033</v>
      </c>
      <c r="L47" s="1132">
        <v>3.9</v>
      </c>
      <c r="M47" s="281"/>
      <c r="N47" s="282"/>
    </row>
    <row r="48" spans="1:14" ht="15" customHeight="1" x14ac:dyDescent="0.15">
      <c r="A48" s="1248">
        <v>4</v>
      </c>
      <c r="B48" s="1249">
        <f t="shared" si="11"/>
        <v>-3.6200000000000006</v>
      </c>
      <c r="C48" s="474">
        <f t="shared" si="12"/>
        <v>2.4600000000000057</v>
      </c>
      <c r="D48" s="1250">
        <f t="shared" si="13"/>
        <v>-4.0600000000000049</v>
      </c>
      <c r="E48" s="406">
        <f t="shared" si="14"/>
        <v>-26.726000000000059</v>
      </c>
      <c r="F48" s="441">
        <f t="shared" si="15"/>
        <v>6.9999999999997925E-2</v>
      </c>
      <c r="G48" s="348">
        <f t="shared" si="10"/>
        <v>-1.7200000000000006</v>
      </c>
      <c r="H48" s="373">
        <f t="shared" si="16"/>
        <v>0.71200000000000019</v>
      </c>
      <c r="I48" s="1251">
        <f t="shared" si="17"/>
        <v>5.8440000000000127</v>
      </c>
      <c r="J48" s="1252">
        <f t="shared" si="18"/>
        <v>7.5399999999999867</v>
      </c>
      <c r="K48" s="1253">
        <f t="shared" si="19"/>
        <v>15.400000000000034</v>
      </c>
      <c r="L48" s="1129">
        <v>4</v>
      </c>
      <c r="M48" s="281"/>
      <c r="N48" s="282"/>
    </row>
    <row r="49" spans="1:14" ht="13" customHeight="1" x14ac:dyDescent="0.15">
      <c r="A49" s="1254">
        <v>4.0999999999999996</v>
      </c>
      <c r="B49" s="1249">
        <f t="shared" si="11"/>
        <v>-3.7730000000000006</v>
      </c>
      <c r="C49" s="474">
        <f t="shared" si="12"/>
        <v>2.3840000000000057</v>
      </c>
      <c r="D49" s="1250">
        <f t="shared" si="13"/>
        <v>-4.0790000000000051</v>
      </c>
      <c r="E49" s="406">
        <f t="shared" si="14"/>
        <v>-26.726900000000061</v>
      </c>
      <c r="F49" s="441">
        <f t="shared" si="15"/>
        <v>2.0499999999997923E-2</v>
      </c>
      <c r="G49" s="348">
        <f t="shared" si="10"/>
        <v>-1.7380000000000007</v>
      </c>
      <c r="H49" s="373">
        <f t="shared" si="16"/>
        <v>0.69180000000000019</v>
      </c>
      <c r="I49" s="1251">
        <f t="shared" si="17"/>
        <v>5.8351000000000131</v>
      </c>
      <c r="J49" s="1252">
        <f t="shared" si="18"/>
        <v>7.5309999999999864</v>
      </c>
      <c r="K49" s="1253">
        <f t="shared" si="19"/>
        <v>15.360000000000035</v>
      </c>
      <c r="L49" s="1132">
        <v>4.0999999999999996</v>
      </c>
      <c r="M49" s="281"/>
      <c r="N49" s="282"/>
    </row>
    <row r="50" spans="1:14" ht="13" customHeight="1" x14ac:dyDescent="0.15">
      <c r="A50" s="1254">
        <v>4.2</v>
      </c>
      <c r="B50" s="1249">
        <f t="shared" si="11"/>
        <v>-3.9260000000000006</v>
      </c>
      <c r="C50" s="474">
        <f t="shared" si="12"/>
        <v>2.3080000000000056</v>
      </c>
      <c r="D50" s="1250">
        <f t="shared" si="13"/>
        <v>-4.0980000000000052</v>
      </c>
      <c r="E50" s="406">
        <f t="shared" si="14"/>
        <v>-26.727800000000062</v>
      </c>
      <c r="F50" s="441">
        <f t="shared" si="15"/>
        <v>-2.900000000000208E-2</v>
      </c>
      <c r="G50" s="348">
        <f t="shared" si="10"/>
        <v>-1.7560000000000007</v>
      </c>
      <c r="H50" s="373">
        <f t="shared" si="16"/>
        <v>0.6716000000000002</v>
      </c>
      <c r="I50" s="1251">
        <f t="shared" si="17"/>
        <v>5.8262000000000134</v>
      </c>
      <c r="J50" s="1252">
        <f t="shared" si="18"/>
        <v>7.521999999999986</v>
      </c>
      <c r="K50" s="1253">
        <f t="shared" si="19"/>
        <v>15.320000000000036</v>
      </c>
      <c r="L50" s="1132">
        <v>4.2</v>
      </c>
      <c r="M50" s="281"/>
      <c r="N50" s="282"/>
    </row>
    <row r="51" spans="1:14" ht="13" customHeight="1" x14ac:dyDescent="0.15">
      <c r="A51" s="1254">
        <v>4.3</v>
      </c>
      <c r="B51" s="1249">
        <f t="shared" si="11"/>
        <v>-4.0790000000000006</v>
      </c>
      <c r="C51" s="474">
        <f t="shared" si="12"/>
        <v>2.2320000000000055</v>
      </c>
      <c r="D51" s="1250">
        <f t="shared" si="13"/>
        <v>-4.1170000000000053</v>
      </c>
      <c r="E51" s="406">
        <f t="shared" si="14"/>
        <v>-26.728700000000064</v>
      </c>
      <c r="F51" s="441">
        <f t="shared" si="15"/>
        <v>-7.8500000000002082E-2</v>
      </c>
      <c r="G51" s="348">
        <f t="shared" si="10"/>
        <v>-1.7740000000000007</v>
      </c>
      <c r="H51" s="373">
        <f t="shared" si="16"/>
        <v>0.6514000000000002</v>
      </c>
      <c r="I51" s="1251">
        <f t="shared" si="17"/>
        <v>5.8173000000000137</v>
      </c>
      <c r="J51" s="1252">
        <f t="shared" si="18"/>
        <v>7.5129999999999857</v>
      </c>
      <c r="K51" s="1253">
        <f t="shared" si="19"/>
        <v>15.280000000000037</v>
      </c>
      <c r="L51" s="1132">
        <v>4.3</v>
      </c>
      <c r="M51" s="281"/>
      <c r="N51" s="282"/>
    </row>
    <row r="52" spans="1:14" ht="13" customHeight="1" x14ac:dyDescent="0.15">
      <c r="A52" s="1254">
        <v>4.4000000000000004</v>
      </c>
      <c r="B52" s="1249">
        <f t="shared" si="11"/>
        <v>-4.2320000000000002</v>
      </c>
      <c r="C52" s="474">
        <f t="shared" si="12"/>
        <v>2.1560000000000055</v>
      </c>
      <c r="D52" s="1250">
        <f t="shared" si="13"/>
        <v>-4.1360000000000054</v>
      </c>
      <c r="E52" s="406">
        <f t="shared" si="14"/>
        <v>-26.729600000000065</v>
      </c>
      <c r="F52" s="441">
        <f t="shared" si="15"/>
        <v>-0.12800000000000208</v>
      </c>
      <c r="G52" s="348">
        <f t="shared" si="10"/>
        <v>-1.7920000000000007</v>
      </c>
      <c r="H52" s="373">
        <f t="shared" si="16"/>
        <v>0.63120000000000021</v>
      </c>
      <c r="I52" s="1251">
        <f t="shared" si="17"/>
        <v>5.808400000000014</v>
      </c>
      <c r="J52" s="1252">
        <f t="shared" si="18"/>
        <v>7.5039999999999853</v>
      </c>
      <c r="K52" s="1253">
        <f t="shared" si="19"/>
        <v>15.240000000000038</v>
      </c>
      <c r="L52" s="1132">
        <v>4.4000000000000004</v>
      </c>
      <c r="M52" s="281"/>
      <c r="N52" s="282"/>
    </row>
    <row r="53" spans="1:14" ht="13" customHeight="1" x14ac:dyDescent="0.15">
      <c r="A53" s="1254">
        <v>4.5</v>
      </c>
      <c r="B53" s="1249">
        <f t="shared" si="11"/>
        <v>-4.3849999999999998</v>
      </c>
      <c r="C53" s="474">
        <f t="shared" si="12"/>
        <v>2.0800000000000054</v>
      </c>
      <c r="D53" s="1250">
        <f t="shared" si="13"/>
        <v>-4.1550000000000056</v>
      </c>
      <c r="E53" s="406">
        <f t="shared" si="14"/>
        <v>-26.730500000000067</v>
      </c>
      <c r="F53" s="441">
        <f t="shared" si="15"/>
        <v>-0.1775000000000021</v>
      </c>
      <c r="G53" s="348">
        <f t="shared" si="10"/>
        <v>-1.8100000000000007</v>
      </c>
      <c r="H53" s="373">
        <f t="shared" si="16"/>
        <v>0.61100000000000021</v>
      </c>
      <c r="I53" s="1251">
        <f t="shared" si="17"/>
        <v>5.7995000000000143</v>
      </c>
      <c r="J53" s="1252">
        <f t="shared" si="18"/>
        <v>7.494999999999985</v>
      </c>
      <c r="K53" s="1253">
        <f t="shared" si="19"/>
        <v>15.200000000000038</v>
      </c>
      <c r="L53" s="1132">
        <v>4.5</v>
      </c>
      <c r="M53" s="281"/>
      <c r="N53" s="282"/>
    </row>
    <row r="54" spans="1:14" ht="13" customHeight="1" x14ac:dyDescent="0.15">
      <c r="A54" s="1254">
        <v>4.5999999999999996</v>
      </c>
      <c r="B54" s="1249">
        <f t="shared" si="11"/>
        <v>-4.5379999999999994</v>
      </c>
      <c r="C54" s="474">
        <f t="shared" si="12"/>
        <v>2.0040000000000053</v>
      </c>
      <c r="D54" s="1250">
        <f t="shared" si="13"/>
        <v>-4.1740000000000057</v>
      </c>
      <c r="E54" s="406">
        <f t="shared" si="14"/>
        <v>-26.731400000000068</v>
      </c>
      <c r="F54" s="441">
        <f t="shared" si="15"/>
        <v>-0.22700000000000209</v>
      </c>
      <c r="G54" s="348">
        <f t="shared" si="10"/>
        <v>-1.8280000000000007</v>
      </c>
      <c r="H54" s="373">
        <f t="shared" si="16"/>
        <v>0.59080000000000021</v>
      </c>
      <c r="I54" s="1251">
        <f t="shared" si="17"/>
        <v>5.7906000000000146</v>
      </c>
      <c r="J54" s="1252">
        <f t="shared" si="18"/>
        <v>7.4859999999999847</v>
      </c>
      <c r="K54" s="1253">
        <f t="shared" si="19"/>
        <v>15.160000000000039</v>
      </c>
      <c r="L54" s="1132">
        <v>4.5999999999999996</v>
      </c>
      <c r="M54" s="281"/>
      <c r="N54" s="282"/>
    </row>
    <row r="55" spans="1:14" ht="13" customHeight="1" x14ac:dyDescent="0.15">
      <c r="A55" s="1254">
        <v>4.7</v>
      </c>
      <c r="B55" s="1249">
        <f t="shared" si="11"/>
        <v>-4.6909999999999989</v>
      </c>
      <c r="C55" s="474">
        <f t="shared" si="12"/>
        <v>1.9280000000000053</v>
      </c>
      <c r="D55" s="1250">
        <f t="shared" si="13"/>
        <v>-4.1930000000000058</v>
      </c>
      <c r="E55" s="406">
        <f t="shared" si="14"/>
        <v>-26.73230000000007</v>
      </c>
      <c r="F55" s="441">
        <f t="shared" si="15"/>
        <v>-0.27650000000000208</v>
      </c>
      <c r="G55" s="348">
        <f t="shared" si="10"/>
        <v>-1.8460000000000008</v>
      </c>
      <c r="H55" s="373">
        <f t="shared" si="16"/>
        <v>0.57060000000000022</v>
      </c>
      <c r="I55" s="1251">
        <f t="shared" si="17"/>
        <v>5.7817000000000149</v>
      </c>
      <c r="J55" s="1252">
        <f t="shared" si="18"/>
        <v>7.4769999999999843</v>
      </c>
      <c r="K55" s="1253">
        <f t="shared" si="19"/>
        <v>15.12000000000004</v>
      </c>
      <c r="L55" s="1132">
        <v>4.7</v>
      </c>
      <c r="M55" s="281"/>
      <c r="N55" s="282"/>
    </row>
    <row r="56" spans="1:14" ht="13" customHeight="1" x14ac:dyDescent="0.15">
      <c r="A56" s="1254">
        <v>4.8</v>
      </c>
      <c r="B56" s="1249">
        <f t="shared" si="11"/>
        <v>-4.8439999999999985</v>
      </c>
      <c r="C56" s="474">
        <f t="shared" si="12"/>
        <v>1.8520000000000052</v>
      </c>
      <c r="D56" s="1250">
        <f t="shared" si="13"/>
        <v>-4.212000000000006</v>
      </c>
      <c r="E56" s="406">
        <f t="shared" si="14"/>
        <v>-26.733200000000071</v>
      </c>
      <c r="F56" s="441">
        <f t="shared" si="15"/>
        <v>-0.32600000000000207</v>
      </c>
      <c r="G56" s="348">
        <f t="shared" si="10"/>
        <v>-1.8640000000000008</v>
      </c>
      <c r="H56" s="373">
        <f t="shared" si="16"/>
        <v>0.55040000000000022</v>
      </c>
      <c r="I56" s="1251">
        <f t="shared" si="17"/>
        <v>5.7728000000000153</v>
      </c>
      <c r="J56" s="1252">
        <f t="shared" si="18"/>
        <v>7.467999999999984</v>
      </c>
      <c r="K56" s="1253">
        <f t="shared" si="19"/>
        <v>15.080000000000041</v>
      </c>
      <c r="L56" s="1132">
        <v>4.8</v>
      </c>
      <c r="M56" s="281"/>
      <c r="N56" s="282"/>
    </row>
    <row r="57" spans="1:14" ht="13" customHeight="1" x14ac:dyDescent="0.15">
      <c r="A57" s="1254">
        <v>4.9000000000000004</v>
      </c>
      <c r="B57" s="1249">
        <f t="shared" si="11"/>
        <v>-4.9969999999999981</v>
      </c>
      <c r="C57" s="474">
        <f t="shared" si="12"/>
        <v>1.7760000000000051</v>
      </c>
      <c r="D57" s="1250">
        <f t="shared" si="13"/>
        <v>-4.2310000000000061</v>
      </c>
      <c r="E57" s="406">
        <f t="shared" si="14"/>
        <v>-26.734100000000073</v>
      </c>
      <c r="F57" s="441">
        <f t="shared" si="15"/>
        <v>-0.37550000000000205</v>
      </c>
      <c r="G57" s="348">
        <f t="shared" si="10"/>
        <v>-1.8820000000000008</v>
      </c>
      <c r="H57" s="373">
        <f t="shared" si="16"/>
        <v>0.53020000000000023</v>
      </c>
      <c r="I57" s="1251">
        <f t="shared" si="17"/>
        <v>5.7639000000000156</v>
      </c>
      <c r="J57" s="1252">
        <f t="shared" si="18"/>
        <v>7.4589999999999836</v>
      </c>
      <c r="K57" s="1253">
        <f t="shared" si="19"/>
        <v>15.040000000000042</v>
      </c>
      <c r="L57" s="1132">
        <v>4.9000000000000004</v>
      </c>
      <c r="M57" s="281"/>
      <c r="N57" s="282"/>
    </row>
    <row r="58" spans="1:14" ht="15" customHeight="1" x14ac:dyDescent="0.15">
      <c r="A58" s="1248">
        <v>5</v>
      </c>
      <c r="B58" s="1249">
        <f t="shared" si="11"/>
        <v>-5.1499999999999977</v>
      </c>
      <c r="C58" s="474">
        <f t="shared" si="12"/>
        <v>1.7000000000000051</v>
      </c>
      <c r="D58" s="1250">
        <f t="shared" si="13"/>
        <v>-4.2500000000000062</v>
      </c>
      <c r="E58" s="406">
        <f t="shared" si="14"/>
        <v>-26.735000000000074</v>
      </c>
      <c r="F58" s="441">
        <f t="shared" si="15"/>
        <v>-0.42500000000000204</v>
      </c>
      <c r="G58" s="348">
        <f t="shared" si="10"/>
        <v>-1.9000000000000008</v>
      </c>
      <c r="H58" s="373">
        <f t="shared" si="16"/>
        <v>0.51000000000000023</v>
      </c>
      <c r="I58" s="1251">
        <f t="shared" si="17"/>
        <v>5.7550000000000159</v>
      </c>
      <c r="J58" s="1252">
        <f t="shared" si="18"/>
        <v>7.4499999999999833</v>
      </c>
      <c r="K58" s="1253">
        <f t="shared" si="19"/>
        <v>15.000000000000043</v>
      </c>
      <c r="L58" s="1129">
        <v>5</v>
      </c>
      <c r="M58" s="281"/>
      <c r="N58" s="282"/>
    </row>
    <row r="59" spans="1:14" ht="13" customHeight="1" x14ac:dyDescent="0.15">
      <c r="A59" s="1254">
        <v>5.0999999999999996</v>
      </c>
      <c r="B59" s="1249">
        <f t="shared" si="11"/>
        <v>-5.3029999999999973</v>
      </c>
      <c r="C59" s="474">
        <f t="shared" si="12"/>
        <v>1.624000000000005</v>
      </c>
      <c r="D59" s="1250">
        <f t="shared" si="13"/>
        <v>-4.2690000000000063</v>
      </c>
      <c r="E59" s="406">
        <f t="shared" si="14"/>
        <v>-26.735900000000075</v>
      </c>
      <c r="F59" s="441">
        <f t="shared" si="15"/>
        <v>-0.47450000000000203</v>
      </c>
      <c r="G59" s="348">
        <f t="shared" si="10"/>
        <v>-1.9180000000000008</v>
      </c>
      <c r="H59" s="373">
        <f t="shared" si="16"/>
        <v>0.48980000000000024</v>
      </c>
      <c r="I59" s="1251">
        <f t="shared" si="17"/>
        <v>5.7461000000000162</v>
      </c>
      <c r="J59" s="1252">
        <f t="shared" si="18"/>
        <v>7.440999999999983</v>
      </c>
      <c r="K59" s="1253">
        <f t="shared" si="19"/>
        <v>14.960000000000043</v>
      </c>
      <c r="L59" s="1132">
        <v>5.0999999999999996</v>
      </c>
      <c r="M59" s="281"/>
      <c r="N59" s="282"/>
    </row>
    <row r="60" spans="1:14" ht="13" customHeight="1" x14ac:dyDescent="0.15">
      <c r="A60" s="1254">
        <v>5.2</v>
      </c>
      <c r="B60" s="1249">
        <f t="shared" si="11"/>
        <v>-5.4559999999999969</v>
      </c>
      <c r="C60" s="474">
        <f t="shared" si="12"/>
        <v>1.5480000000000049</v>
      </c>
      <c r="D60" s="1250">
        <f t="shared" si="13"/>
        <v>-4.2880000000000065</v>
      </c>
      <c r="E60" s="406">
        <f t="shared" si="14"/>
        <v>-26.736800000000077</v>
      </c>
      <c r="F60" s="441">
        <f t="shared" si="15"/>
        <v>-0.52400000000000202</v>
      </c>
      <c r="G60" s="348">
        <f t="shared" si="10"/>
        <v>-1.9360000000000008</v>
      </c>
      <c r="H60" s="373">
        <f t="shared" si="16"/>
        <v>0.46960000000000024</v>
      </c>
      <c r="I60" s="1251">
        <f t="shared" si="17"/>
        <v>5.7372000000000165</v>
      </c>
      <c r="J60" s="1252">
        <f t="shared" si="18"/>
        <v>7.4319999999999826</v>
      </c>
      <c r="K60" s="1253">
        <f t="shared" si="19"/>
        <v>14.920000000000044</v>
      </c>
      <c r="L60" s="1132">
        <v>5.2</v>
      </c>
      <c r="M60" s="281"/>
      <c r="N60" s="282"/>
    </row>
    <row r="61" spans="1:14" ht="13" customHeight="1" x14ac:dyDescent="0.15">
      <c r="A61" s="1254">
        <v>5.3</v>
      </c>
      <c r="B61" s="1249">
        <f t="shared" si="11"/>
        <v>-5.6089999999999964</v>
      </c>
      <c r="C61" s="474">
        <f t="shared" si="12"/>
        <v>1.4720000000000049</v>
      </c>
      <c r="D61" s="1250">
        <f t="shared" si="13"/>
        <v>-4.3070000000000066</v>
      </c>
      <c r="E61" s="406">
        <f t="shared" si="14"/>
        <v>-26.737700000000078</v>
      </c>
      <c r="F61" s="441">
        <f t="shared" si="15"/>
        <v>-0.57350000000000201</v>
      </c>
      <c r="G61" s="348">
        <f t="shared" si="10"/>
        <v>-1.9540000000000008</v>
      </c>
      <c r="H61" s="373">
        <f t="shared" si="16"/>
        <v>0.44940000000000024</v>
      </c>
      <c r="I61" s="1251">
        <f t="shared" si="17"/>
        <v>5.7283000000000168</v>
      </c>
      <c r="J61" s="1252">
        <f t="shared" si="18"/>
        <v>7.4229999999999823</v>
      </c>
      <c r="K61" s="1253">
        <f t="shared" si="19"/>
        <v>14.880000000000045</v>
      </c>
      <c r="L61" s="1132">
        <v>5.3</v>
      </c>
      <c r="M61" s="281"/>
      <c r="N61" s="282"/>
    </row>
    <row r="62" spans="1:14" ht="13" customHeight="1" x14ac:dyDescent="0.15">
      <c r="A62" s="1254">
        <v>5.4</v>
      </c>
      <c r="B62" s="1249">
        <f t="shared" si="11"/>
        <v>-5.761999999999996</v>
      </c>
      <c r="C62" s="474">
        <f t="shared" si="12"/>
        <v>1.3960000000000048</v>
      </c>
      <c r="D62" s="1250">
        <f t="shared" si="13"/>
        <v>-4.3260000000000067</v>
      </c>
      <c r="E62" s="406">
        <f t="shared" si="14"/>
        <v>-26.73860000000008</v>
      </c>
      <c r="F62" s="441">
        <f t="shared" si="15"/>
        <v>-0.623000000000002</v>
      </c>
      <c r="G62" s="348">
        <f t="shared" si="10"/>
        <v>-1.9720000000000009</v>
      </c>
      <c r="H62" s="373">
        <f t="shared" si="16"/>
        <v>0.42920000000000025</v>
      </c>
      <c r="I62" s="1251">
        <f t="shared" si="17"/>
        <v>5.7194000000000171</v>
      </c>
      <c r="J62" s="1252">
        <f t="shared" si="18"/>
        <v>7.4139999999999819</v>
      </c>
      <c r="K62" s="1253">
        <f t="shared" si="19"/>
        <v>14.840000000000046</v>
      </c>
      <c r="L62" s="1132">
        <v>5.4</v>
      </c>
      <c r="M62" s="281"/>
      <c r="N62" s="282"/>
    </row>
    <row r="63" spans="1:14" ht="13" customHeight="1" x14ac:dyDescent="0.15">
      <c r="A63" s="1254">
        <v>5.5</v>
      </c>
      <c r="B63" s="1249">
        <f t="shared" si="11"/>
        <v>-5.9149999999999956</v>
      </c>
      <c r="C63" s="474">
        <f t="shared" si="12"/>
        <v>1.3200000000000047</v>
      </c>
      <c r="D63" s="1250">
        <f t="shared" si="13"/>
        <v>-4.3450000000000069</v>
      </c>
      <c r="E63" s="406">
        <f t="shared" si="14"/>
        <v>-26.739500000000081</v>
      </c>
      <c r="F63" s="441">
        <f t="shared" si="15"/>
        <v>-0.67250000000000199</v>
      </c>
      <c r="G63" s="348">
        <f t="shared" si="10"/>
        <v>-1.9900000000000009</v>
      </c>
      <c r="H63" s="373">
        <f t="shared" si="16"/>
        <v>0.40900000000000025</v>
      </c>
      <c r="I63" s="1251">
        <f t="shared" si="17"/>
        <v>5.7105000000000175</v>
      </c>
      <c r="J63" s="1252">
        <f t="shared" si="18"/>
        <v>7.4049999999999816</v>
      </c>
      <c r="K63" s="1253">
        <f t="shared" si="19"/>
        <v>14.800000000000047</v>
      </c>
      <c r="L63" s="1132">
        <v>5.5</v>
      </c>
      <c r="M63" s="281"/>
      <c r="N63" s="282"/>
    </row>
    <row r="64" spans="1:14" ht="13" customHeight="1" x14ac:dyDescent="0.15">
      <c r="A64" s="1254">
        <v>5.6</v>
      </c>
      <c r="B64" s="1249">
        <f t="shared" si="11"/>
        <v>-6.0679999999999952</v>
      </c>
      <c r="C64" s="474">
        <f t="shared" si="12"/>
        <v>1.2440000000000047</v>
      </c>
      <c r="D64" s="1250">
        <f t="shared" si="13"/>
        <v>-4.364000000000007</v>
      </c>
      <c r="E64" s="406">
        <f t="shared" si="14"/>
        <v>-26.740400000000083</v>
      </c>
      <c r="F64" s="441">
        <f t="shared" si="15"/>
        <v>-0.72200000000000197</v>
      </c>
      <c r="G64" s="348">
        <f t="shared" si="10"/>
        <v>-2.0080000000000009</v>
      </c>
      <c r="H64" s="373">
        <f t="shared" si="16"/>
        <v>0.38880000000000026</v>
      </c>
      <c r="I64" s="1251">
        <f t="shared" si="17"/>
        <v>5.7016000000000178</v>
      </c>
      <c r="J64" s="1252">
        <f t="shared" si="18"/>
        <v>7.3959999999999813</v>
      </c>
      <c r="K64" s="1253">
        <f t="shared" si="19"/>
        <v>14.760000000000048</v>
      </c>
      <c r="L64" s="1132">
        <v>5.6</v>
      </c>
      <c r="M64" s="281"/>
      <c r="N64" s="282"/>
    </row>
    <row r="65" spans="1:14" ht="13" customHeight="1" x14ac:dyDescent="0.15">
      <c r="A65" s="1254">
        <v>5.7</v>
      </c>
      <c r="B65" s="1249">
        <f t="shared" si="11"/>
        <v>-6.2209999999999948</v>
      </c>
      <c r="C65" s="474">
        <f t="shared" si="12"/>
        <v>1.1680000000000046</v>
      </c>
      <c r="D65" s="1250">
        <f t="shared" si="13"/>
        <v>-4.3830000000000071</v>
      </c>
      <c r="E65" s="406">
        <f t="shared" si="14"/>
        <v>-26.741300000000084</v>
      </c>
      <c r="F65" s="441">
        <f t="shared" si="15"/>
        <v>-0.77150000000000196</v>
      </c>
      <c r="G65" s="348">
        <f t="shared" si="10"/>
        <v>-2.0260000000000007</v>
      </c>
      <c r="H65" s="373">
        <f t="shared" si="16"/>
        <v>0.36860000000000026</v>
      </c>
      <c r="I65" s="1251">
        <f t="shared" si="17"/>
        <v>5.6927000000000181</v>
      </c>
      <c r="J65" s="1252">
        <f t="shared" si="18"/>
        <v>7.3869999999999809</v>
      </c>
      <c r="K65" s="1253">
        <f t="shared" si="19"/>
        <v>14.720000000000049</v>
      </c>
      <c r="L65" s="1132">
        <v>5.7</v>
      </c>
      <c r="M65" s="281"/>
      <c r="N65" s="282"/>
    </row>
    <row r="66" spans="1:14" ht="13" customHeight="1" x14ac:dyDescent="0.15">
      <c r="A66" s="1254">
        <v>5.8</v>
      </c>
      <c r="B66" s="1249">
        <f t="shared" si="11"/>
        <v>-6.3739999999999943</v>
      </c>
      <c r="C66" s="474">
        <f t="shared" si="12"/>
        <v>1.0920000000000045</v>
      </c>
      <c r="D66" s="1250">
        <f t="shared" si="13"/>
        <v>-4.4020000000000072</v>
      </c>
      <c r="E66" s="406">
        <f t="shared" si="14"/>
        <v>-26.742200000000086</v>
      </c>
      <c r="F66" s="441">
        <f t="shared" si="15"/>
        <v>-0.82100000000000195</v>
      </c>
      <c r="G66" s="348">
        <f t="shared" si="10"/>
        <v>-2.0440000000000005</v>
      </c>
      <c r="H66" s="373">
        <f t="shared" si="16"/>
        <v>0.34840000000000027</v>
      </c>
      <c r="I66" s="1251">
        <f t="shared" si="17"/>
        <v>5.6838000000000184</v>
      </c>
      <c r="J66" s="1252">
        <f t="shared" si="18"/>
        <v>7.3779999999999806</v>
      </c>
      <c r="K66" s="1253">
        <f t="shared" si="19"/>
        <v>14.680000000000049</v>
      </c>
      <c r="L66" s="1132">
        <v>5.8</v>
      </c>
      <c r="M66" s="281"/>
      <c r="N66" s="282"/>
    </row>
    <row r="67" spans="1:14" ht="13" customHeight="1" x14ac:dyDescent="0.15">
      <c r="A67" s="1254">
        <v>5.9</v>
      </c>
      <c r="B67" s="1249">
        <f t="shared" si="11"/>
        <v>-6.5269999999999939</v>
      </c>
      <c r="C67" s="474">
        <f t="shared" si="12"/>
        <v>1.0160000000000045</v>
      </c>
      <c r="D67" s="1250">
        <f t="shared" si="13"/>
        <v>-4.4210000000000074</v>
      </c>
      <c r="E67" s="406">
        <f t="shared" si="14"/>
        <v>-26.743100000000087</v>
      </c>
      <c r="F67" s="441">
        <f t="shared" si="15"/>
        <v>-0.87050000000000194</v>
      </c>
      <c r="G67" s="348">
        <f t="shared" si="10"/>
        <v>-2.0620000000000003</v>
      </c>
      <c r="H67" s="373">
        <f t="shared" si="16"/>
        <v>0.32820000000000027</v>
      </c>
      <c r="I67" s="1251">
        <f t="shared" si="17"/>
        <v>5.6749000000000187</v>
      </c>
      <c r="J67" s="1252">
        <f t="shared" si="18"/>
        <v>7.3689999999999802</v>
      </c>
      <c r="K67" s="1253">
        <f t="shared" si="19"/>
        <v>14.64000000000005</v>
      </c>
      <c r="L67" s="1132">
        <v>5.9</v>
      </c>
      <c r="M67" s="281"/>
      <c r="N67" s="282"/>
    </row>
    <row r="68" spans="1:14" ht="15" customHeight="1" x14ac:dyDescent="0.15">
      <c r="A68" s="1248">
        <v>6</v>
      </c>
      <c r="B68" s="1249">
        <f t="shared" si="11"/>
        <v>-6.6799999999999935</v>
      </c>
      <c r="C68" s="474">
        <f t="shared" si="12"/>
        <v>0.9400000000000045</v>
      </c>
      <c r="D68" s="1250">
        <f t="shared" si="13"/>
        <v>-4.4400000000000075</v>
      </c>
      <c r="E68" s="406">
        <f t="shared" si="14"/>
        <v>-26.744000000000089</v>
      </c>
      <c r="F68" s="441">
        <f t="shared" si="15"/>
        <v>-0.92000000000000193</v>
      </c>
      <c r="G68" s="348">
        <f t="shared" si="10"/>
        <v>-2.08</v>
      </c>
      <c r="H68" s="373">
        <f t="shared" si="16"/>
        <v>0.30800000000000027</v>
      </c>
      <c r="I68" s="1251">
        <f t="shared" si="17"/>
        <v>5.666000000000019</v>
      </c>
      <c r="J68" s="1252">
        <f t="shared" si="18"/>
        <v>7.3599999999999799</v>
      </c>
      <c r="K68" s="1253">
        <f t="shared" si="19"/>
        <v>14.600000000000051</v>
      </c>
      <c r="L68" s="1129">
        <v>6</v>
      </c>
      <c r="M68" s="281"/>
      <c r="N68" s="282"/>
    </row>
    <row r="69" spans="1:14" ht="13" customHeight="1" x14ac:dyDescent="0.15">
      <c r="A69" s="1254">
        <v>6.1</v>
      </c>
      <c r="B69" s="1249">
        <f t="shared" si="11"/>
        <v>-6.8329999999999931</v>
      </c>
      <c r="C69" s="474">
        <f t="shared" si="12"/>
        <v>0.86400000000000454</v>
      </c>
      <c r="D69" s="1250">
        <f t="shared" si="13"/>
        <v>-4.4590000000000076</v>
      </c>
      <c r="E69" s="406">
        <f t="shared" si="14"/>
        <v>-26.74490000000009</v>
      </c>
      <c r="F69" s="441">
        <f t="shared" si="15"/>
        <v>-0.96950000000000192</v>
      </c>
      <c r="G69" s="348">
        <f t="shared" si="10"/>
        <v>-2.0979999999999999</v>
      </c>
      <c r="H69" s="373">
        <f t="shared" si="16"/>
        <v>0.28780000000000028</v>
      </c>
      <c r="I69" s="1251">
        <f t="shared" si="17"/>
        <v>5.6571000000000193</v>
      </c>
      <c r="J69" s="1252">
        <f t="shared" si="18"/>
        <v>7.3509999999999796</v>
      </c>
      <c r="K69" s="1253">
        <f t="shared" si="19"/>
        <v>14.560000000000052</v>
      </c>
      <c r="L69" s="1132">
        <v>6.1</v>
      </c>
      <c r="M69" s="281"/>
      <c r="N69" s="282"/>
    </row>
    <row r="70" spans="1:14" ht="13" customHeight="1" x14ac:dyDescent="0.15">
      <c r="A70" s="1254">
        <v>6.2</v>
      </c>
      <c r="B70" s="1249">
        <f t="shared" si="11"/>
        <v>-6.9859999999999927</v>
      </c>
      <c r="C70" s="474">
        <f t="shared" si="12"/>
        <v>0.78800000000000459</v>
      </c>
      <c r="D70" s="1250">
        <f t="shared" si="13"/>
        <v>-4.4780000000000078</v>
      </c>
      <c r="E70" s="406">
        <f t="shared" si="14"/>
        <v>-26.745800000000092</v>
      </c>
      <c r="F70" s="441">
        <f t="shared" si="15"/>
        <v>-1.0190000000000019</v>
      </c>
      <c r="G70" s="348">
        <f t="shared" si="10"/>
        <v>-2.1159999999999997</v>
      </c>
      <c r="H70" s="373">
        <f t="shared" si="16"/>
        <v>0.26760000000000028</v>
      </c>
      <c r="I70" s="1251">
        <f t="shared" si="17"/>
        <v>5.6482000000000196</v>
      </c>
      <c r="J70" s="1252">
        <f t="shared" si="18"/>
        <v>7.3419999999999792</v>
      </c>
      <c r="K70" s="1253">
        <f t="shared" si="19"/>
        <v>14.520000000000053</v>
      </c>
      <c r="L70" s="1132">
        <v>6.2</v>
      </c>
      <c r="M70" s="281"/>
      <c r="N70" s="282"/>
    </row>
    <row r="71" spans="1:14" ht="13" customHeight="1" x14ac:dyDescent="0.15">
      <c r="A71" s="1254">
        <v>6.3</v>
      </c>
      <c r="B71" s="1249">
        <f t="shared" si="11"/>
        <v>-7.1389999999999922</v>
      </c>
      <c r="C71" s="474">
        <f t="shared" si="12"/>
        <v>0.71200000000000463</v>
      </c>
      <c r="D71" s="1250">
        <f t="shared" si="13"/>
        <v>-4.4970000000000079</v>
      </c>
      <c r="E71" s="406">
        <f t="shared" si="14"/>
        <v>-26.746700000000093</v>
      </c>
      <c r="F71" s="441">
        <f t="shared" si="15"/>
        <v>-1.068500000000002</v>
      </c>
      <c r="G71" s="348">
        <f t="shared" si="10"/>
        <v>-2.1339999999999995</v>
      </c>
      <c r="H71" s="373">
        <f t="shared" si="16"/>
        <v>0.24740000000000029</v>
      </c>
      <c r="I71" s="1251">
        <f t="shared" si="17"/>
        <v>5.63930000000002</v>
      </c>
      <c r="J71" s="1252">
        <f t="shared" si="18"/>
        <v>7.3329999999999789</v>
      </c>
      <c r="K71" s="1253">
        <f t="shared" si="19"/>
        <v>14.480000000000054</v>
      </c>
      <c r="L71" s="1132">
        <v>6.3</v>
      </c>
      <c r="M71" s="281"/>
      <c r="N71" s="282"/>
    </row>
    <row r="72" spans="1:14" ht="13" customHeight="1" x14ac:dyDescent="0.15">
      <c r="A72" s="1254">
        <v>6.4</v>
      </c>
      <c r="B72" s="1249">
        <f t="shared" si="11"/>
        <v>-7.2919999999999918</v>
      </c>
      <c r="C72" s="474">
        <f t="shared" si="12"/>
        <v>0.63600000000000467</v>
      </c>
      <c r="D72" s="1250">
        <f t="shared" si="13"/>
        <v>-4.516000000000008</v>
      </c>
      <c r="E72" s="406">
        <f t="shared" si="14"/>
        <v>-26.747600000000094</v>
      </c>
      <c r="F72" s="441">
        <f t="shared" si="15"/>
        <v>-1.1180000000000021</v>
      </c>
      <c r="G72" s="348">
        <f t="shared" si="10"/>
        <v>-2.1519999999999992</v>
      </c>
      <c r="H72" s="373">
        <f t="shared" si="16"/>
        <v>0.22720000000000029</v>
      </c>
      <c r="I72" s="1251">
        <f t="shared" si="17"/>
        <v>5.6304000000000203</v>
      </c>
      <c r="J72" s="1252">
        <f t="shared" si="18"/>
        <v>7.3239999999999785</v>
      </c>
      <c r="K72" s="1253">
        <f t="shared" si="19"/>
        <v>14.440000000000055</v>
      </c>
      <c r="L72" s="1132">
        <v>6.4</v>
      </c>
      <c r="M72" s="281"/>
      <c r="N72" s="282"/>
    </row>
    <row r="73" spans="1:14" ht="13" customHeight="1" x14ac:dyDescent="0.15">
      <c r="A73" s="1254">
        <v>6.5</v>
      </c>
      <c r="B73" s="1249">
        <f t="shared" ref="B73:B108" si="20">B72-0.153</f>
        <v>-7.4449999999999914</v>
      </c>
      <c r="C73" s="474">
        <f t="shared" ref="C73:C108" si="21">C72-0.076</f>
        <v>0.56000000000000472</v>
      </c>
      <c r="D73" s="1250">
        <f t="shared" ref="D73:D108" si="22">D72-0.019</f>
        <v>-4.5350000000000081</v>
      </c>
      <c r="E73" s="406">
        <f t="shared" ref="E73:E108" si="23">E72-0.0009</f>
        <v>-26.748500000000096</v>
      </c>
      <c r="F73" s="441">
        <f t="shared" ref="F73:F108" si="24">F72-0.0495</f>
        <v>-1.1675000000000022</v>
      </c>
      <c r="G73" s="348">
        <f t="shared" si="10"/>
        <v>-2.169999999999999</v>
      </c>
      <c r="H73" s="373">
        <f t="shared" ref="H73:H108" si="25">H72-0.0202</f>
        <v>0.20700000000000029</v>
      </c>
      <c r="I73" s="1251">
        <f t="shared" ref="I73:I108" si="26">I72-0.0089</f>
        <v>5.6215000000000206</v>
      </c>
      <c r="J73" s="1252">
        <f t="shared" ref="J73:J108" si="27">J72-0.009</f>
        <v>7.3149999999999782</v>
      </c>
      <c r="K73" s="1253">
        <f t="shared" ref="K73:K108" si="28">K72-0.04</f>
        <v>14.400000000000055</v>
      </c>
      <c r="L73" s="1132">
        <v>6.5</v>
      </c>
      <c r="M73" s="281"/>
      <c r="N73" s="282"/>
    </row>
    <row r="74" spans="1:14" ht="13" customHeight="1" x14ac:dyDescent="0.15">
      <c r="A74" s="1254">
        <v>6.6</v>
      </c>
      <c r="B74" s="1249">
        <f t="shared" si="20"/>
        <v>-7.597999999999991</v>
      </c>
      <c r="C74" s="474">
        <f t="shared" si="21"/>
        <v>0.4840000000000047</v>
      </c>
      <c r="D74" s="1250">
        <f t="shared" si="22"/>
        <v>-4.5540000000000083</v>
      </c>
      <c r="E74" s="406">
        <f t="shared" si="23"/>
        <v>-26.749400000000097</v>
      </c>
      <c r="F74" s="441">
        <f t="shared" si="24"/>
        <v>-1.2170000000000023</v>
      </c>
      <c r="G74" s="348">
        <f t="shared" si="10"/>
        <v>-2.1879999999999988</v>
      </c>
      <c r="H74" s="373">
        <f t="shared" si="25"/>
        <v>0.1868000000000003</v>
      </c>
      <c r="I74" s="1251">
        <f t="shared" si="26"/>
        <v>5.6126000000000209</v>
      </c>
      <c r="J74" s="1252">
        <f t="shared" si="27"/>
        <v>7.3059999999999778</v>
      </c>
      <c r="K74" s="1253">
        <f t="shared" si="28"/>
        <v>14.360000000000056</v>
      </c>
      <c r="L74" s="1132">
        <v>6.6</v>
      </c>
      <c r="M74" s="281"/>
      <c r="N74" s="282"/>
    </row>
    <row r="75" spans="1:14" ht="13" customHeight="1" x14ac:dyDescent="0.15">
      <c r="A75" s="1254">
        <v>6.7</v>
      </c>
      <c r="B75" s="1249">
        <f t="shared" si="20"/>
        <v>-7.7509999999999906</v>
      </c>
      <c r="C75" s="474">
        <f t="shared" si="21"/>
        <v>0.40800000000000469</v>
      </c>
      <c r="D75" s="1250">
        <f t="shared" si="22"/>
        <v>-4.5730000000000084</v>
      </c>
      <c r="E75" s="406">
        <f t="shared" si="23"/>
        <v>-26.750300000000099</v>
      </c>
      <c r="F75" s="441">
        <f t="shared" si="24"/>
        <v>-1.2665000000000024</v>
      </c>
      <c r="G75" s="348">
        <f t="shared" ref="G75:G108" si="29">G74-0.018</f>
        <v>-2.2059999999999986</v>
      </c>
      <c r="H75" s="373">
        <f t="shared" si="25"/>
        <v>0.1666000000000003</v>
      </c>
      <c r="I75" s="1251">
        <f t="shared" si="26"/>
        <v>5.6037000000000212</v>
      </c>
      <c r="J75" s="1252">
        <f t="shared" si="27"/>
        <v>7.2969999999999775</v>
      </c>
      <c r="K75" s="1253">
        <f t="shared" si="28"/>
        <v>14.320000000000057</v>
      </c>
      <c r="L75" s="1132">
        <v>6.7</v>
      </c>
      <c r="M75" s="281"/>
      <c r="N75" s="282"/>
    </row>
    <row r="76" spans="1:14" ht="13" customHeight="1" x14ac:dyDescent="0.15">
      <c r="A76" s="1254">
        <v>6.8</v>
      </c>
      <c r="B76" s="1249">
        <f t="shared" si="20"/>
        <v>-7.9039999999999901</v>
      </c>
      <c r="C76" s="474">
        <f t="shared" si="21"/>
        <v>0.33200000000000468</v>
      </c>
      <c r="D76" s="1250">
        <f t="shared" si="22"/>
        <v>-4.5920000000000085</v>
      </c>
      <c r="E76" s="406">
        <f t="shared" si="23"/>
        <v>-26.7512000000001</v>
      </c>
      <c r="F76" s="441">
        <f t="shared" si="24"/>
        <v>-1.3160000000000025</v>
      </c>
      <c r="G76" s="348">
        <f t="shared" si="29"/>
        <v>-2.2239999999999984</v>
      </c>
      <c r="H76" s="373">
        <f t="shared" si="25"/>
        <v>0.14640000000000031</v>
      </c>
      <c r="I76" s="1251">
        <f t="shared" si="26"/>
        <v>5.5948000000000215</v>
      </c>
      <c r="J76" s="1252">
        <f t="shared" si="27"/>
        <v>7.2879999999999772</v>
      </c>
      <c r="K76" s="1253">
        <f t="shared" si="28"/>
        <v>14.280000000000058</v>
      </c>
      <c r="L76" s="1132">
        <v>6.8</v>
      </c>
      <c r="M76" s="281"/>
      <c r="N76" s="282"/>
    </row>
    <row r="77" spans="1:14" ht="13" customHeight="1" x14ac:dyDescent="0.15">
      <c r="A77" s="1254">
        <v>6.9</v>
      </c>
      <c r="B77" s="1249">
        <f t="shared" si="20"/>
        <v>-8.0569999999999897</v>
      </c>
      <c r="C77" s="474">
        <f t="shared" si="21"/>
        <v>0.25600000000000467</v>
      </c>
      <c r="D77" s="1250">
        <f t="shared" si="22"/>
        <v>-4.6110000000000086</v>
      </c>
      <c r="E77" s="406">
        <f t="shared" si="23"/>
        <v>-26.752100000000102</v>
      </c>
      <c r="F77" s="441">
        <f t="shared" si="24"/>
        <v>-1.3655000000000026</v>
      </c>
      <c r="G77" s="348">
        <f t="shared" si="29"/>
        <v>-2.2419999999999982</v>
      </c>
      <c r="H77" s="373">
        <f t="shared" si="25"/>
        <v>0.12620000000000031</v>
      </c>
      <c r="I77" s="1251">
        <f t="shared" si="26"/>
        <v>5.5859000000000218</v>
      </c>
      <c r="J77" s="1252">
        <f t="shared" si="27"/>
        <v>7.2789999999999768</v>
      </c>
      <c r="K77" s="1253">
        <f t="shared" si="28"/>
        <v>14.240000000000059</v>
      </c>
      <c r="L77" s="1132">
        <v>6.9</v>
      </c>
      <c r="M77" s="281"/>
      <c r="N77" s="282"/>
    </row>
    <row r="78" spans="1:14" ht="15" customHeight="1" x14ac:dyDescent="0.15">
      <c r="A78" s="1248">
        <v>7</v>
      </c>
      <c r="B78" s="1249">
        <f t="shared" si="20"/>
        <v>-8.2099999999999902</v>
      </c>
      <c r="C78" s="474">
        <f t="shared" si="21"/>
        <v>0.18000000000000466</v>
      </c>
      <c r="D78" s="1250">
        <f t="shared" si="22"/>
        <v>-4.6300000000000088</v>
      </c>
      <c r="E78" s="406">
        <f t="shared" si="23"/>
        <v>-26.753000000000103</v>
      </c>
      <c r="F78" s="441">
        <f t="shared" si="24"/>
        <v>-1.4150000000000027</v>
      </c>
      <c r="G78" s="348">
        <f t="shared" si="29"/>
        <v>-2.259999999999998</v>
      </c>
      <c r="H78" s="373">
        <f t="shared" si="25"/>
        <v>0.10600000000000032</v>
      </c>
      <c r="I78" s="1251">
        <f t="shared" si="26"/>
        <v>5.5770000000000222</v>
      </c>
      <c r="J78" s="1252">
        <f t="shared" si="27"/>
        <v>7.2699999999999765</v>
      </c>
      <c r="K78" s="1253">
        <f t="shared" si="28"/>
        <v>14.20000000000006</v>
      </c>
      <c r="L78" s="1129">
        <v>7</v>
      </c>
      <c r="M78" s="281"/>
      <c r="N78" s="282"/>
    </row>
    <row r="79" spans="1:14" ht="13" customHeight="1" x14ac:dyDescent="0.15">
      <c r="A79" s="1254">
        <v>7.1</v>
      </c>
      <c r="B79" s="1249">
        <f t="shared" si="20"/>
        <v>-8.3629999999999907</v>
      </c>
      <c r="C79" s="474">
        <f t="shared" si="21"/>
        <v>0.10400000000000466</v>
      </c>
      <c r="D79" s="1250">
        <f t="shared" si="22"/>
        <v>-4.6490000000000089</v>
      </c>
      <c r="E79" s="406">
        <f t="shared" si="23"/>
        <v>-26.753900000000105</v>
      </c>
      <c r="F79" s="441">
        <f t="shared" si="24"/>
        <v>-1.4645000000000028</v>
      </c>
      <c r="G79" s="348">
        <f t="shared" si="29"/>
        <v>-2.2779999999999978</v>
      </c>
      <c r="H79" s="373">
        <f t="shared" si="25"/>
        <v>8.580000000000032E-2</v>
      </c>
      <c r="I79" s="1251">
        <f t="shared" si="26"/>
        <v>5.5681000000000225</v>
      </c>
      <c r="J79" s="1252">
        <f t="shared" si="27"/>
        <v>7.2609999999999761</v>
      </c>
      <c r="K79" s="1253">
        <f t="shared" si="28"/>
        <v>14.160000000000061</v>
      </c>
      <c r="L79" s="1132">
        <v>7.1</v>
      </c>
      <c r="M79" s="281"/>
      <c r="N79" s="282"/>
    </row>
    <row r="80" spans="1:14" ht="13" customHeight="1" x14ac:dyDescent="0.15">
      <c r="A80" s="1254">
        <v>7.2</v>
      </c>
      <c r="B80" s="1249">
        <f t="shared" si="20"/>
        <v>-8.5159999999999911</v>
      </c>
      <c r="C80" s="474">
        <f t="shared" si="21"/>
        <v>2.800000000000466E-2</v>
      </c>
      <c r="D80" s="1250">
        <f t="shared" si="22"/>
        <v>-4.668000000000009</v>
      </c>
      <c r="E80" s="406">
        <f t="shared" si="23"/>
        <v>-26.754800000000106</v>
      </c>
      <c r="F80" s="441">
        <f t="shared" si="24"/>
        <v>-1.5140000000000029</v>
      </c>
      <c r="G80" s="348">
        <f t="shared" si="29"/>
        <v>-2.2959999999999976</v>
      </c>
      <c r="H80" s="373">
        <f t="shared" si="25"/>
        <v>6.5600000000000325E-2</v>
      </c>
      <c r="I80" s="1251">
        <f t="shared" si="26"/>
        <v>5.5592000000000228</v>
      </c>
      <c r="J80" s="1252">
        <f t="shared" si="27"/>
        <v>7.2519999999999758</v>
      </c>
      <c r="K80" s="1253">
        <f t="shared" si="28"/>
        <v>14.120000000000061</v>
      </c>
      <c r="L80" s="1132">
        <v>7.2</v>
      </c>
      <c r="M80" s="281"/>
      <c r="N80" s="282"/>
    </row>
    <row r="81" spans="1:14" ht="13" customHeight="1" x14ac:dyDescent="0.15">
      <c r="A81" s="1254">
        <v>7.3</v>
      </c>
      <c r="B81" s="1249">
        <f t="shared" si="20"/>
        <v>-8.6689999999999916</v>
      </c>
      <c r="C81" s="474">
        <f t="shared" si="21"/>
        <v>-4.7999999999995338E-2</v>
      </c>
      <c r="D81" s="1250">
        <f t="shared" si="22"/>
        <v>-4.6870000000000092</v>
      </c>
      <c r="E81" s="406">
        <f t="shared" si="23"/>
        <v>-26.755700000000108</v>
      </c>
      <c r="F81" s="441">
        <f t="shared" si="24"/>
        <v>-1.563500000000003</v>
      </c>
      <c r="G81" s="348">
        <f t="shared" si="29"/>
        <v>-2.3139999999999974</v>
      </c>
      <c r="H81" s="373">
        <f t="shared" si="25"/>
        <v>4.5400000000000329E-2</v>
      </c>
      <c r="I81" s="1251">
        <f t="shared" si="26"/>
        <v>5.5503000000000231</v>
      </c>
      <c r="J81" s="1252">
        <f t="shared" si="27"/>
        <v>7.2429999999999755</v>
      </c>
      <c r="K81" s="1253">
        <f t="shared" si="28"/>
        <v>14.080000000000062</v>
      </c>
      <c r="L81" s="1132">
        <v>7.3</v>
      </c>
      <c r="M81" s="281"/>
      <c r="N81" s="282"/>
    </row>
    <row r="82" spans="1:14" ht="13" customHeight="1" x14ac:dyDescent="0.15">
      <c r="A82" s="1254">
        <v>7.4</v>
      </c>
      <c r="B82" s="1249">
        <f t="shared" si="20"/>
        <v>-8.8219999999999921</v>
      </c>
      <c r="C82" s="474">
        <f t="shared" si="21"/>
        <v>-0.12399999999999534</v>
      </c>
      <c r="D82" s="1250">
        <f t="shared" si="22"/>
        <v>-4.7060000000000093</v>
      </c>
      <c r="E82" s="406">
        <f t="shared" si="23"/>
        <v>-26.756600000000109</v>
      </c>
      <c r="F82" s="441">
        <f t="shared" si="24"/>
        <v>-1.6130000000000031</v>
      </c>
      <c r="G82" s="348">
        <f t="shared" si="29"/>
        <v>-2.3319999999999972</v>
      </c>
      <c r="H82" s="373">
        <f t="shared" si="25"/>
        <v>2.520000000000033E-2</v>
      </c>
      <c r="I82" s="1251">
        <f t="shared" si="26"/>
        <v>5.5414000000000234</v>
      </c>
      <c r="J82" s="1252">
        <f t="shared" si="27"/>
        <v>7.2339999999999751</v>
      </c>
      <c r="K82" s="1253">
        <f t="shared" si="28"/>
        <v>14.040000000000063</v>
      </c>
      <c r="L82" s="1132">
        <v>7.4</v>
      </c>
      <c r="M82" s="281"/>
      <c r="N82" s="282"/>
    </row>
    <row r="83" spans="1:14" ht="13" customHeight="1" x14ac:dyDescent="0.15">
      <c r="A83" s="1254">
        <v>7.5</v>
      </c>
      <c r="B83" s="1249">
        <f t="shared" si="20"/>
        <v>-8.9749999999999925</v>
      </c>
      <c r="C83" s="474">
        <f t="shared" si="21"/>
        <v>-0.19999999999999535</v>
      </c>
      <c r="D83" s="1250">
        <f t="shared" si="22"/>
        <v>-4.7250000000000094</v>
      </c>
      <c r="E83" s="406">
        <f t="shared" si="23"/>
        <v>-26.75750000000011</v>
      </c>
      <c r="F83" s="441">
        <f t="shared" si="24"/>
        <v>-1.6625000000000032</v>
      </c>
      <c r="G83" s="348">
        <f t="shared" si="29"/>
        <v>-2.349999999999997</v>
      </c>
      <c r="H83" s="373">
        <f t="shared" si="25"/>
        <v>5.0000000000003306E-3</v>
      </c>
      <c r="I83" s="1251">
        <f t="shared" si="26"/>
        <v>5.5325000000000237</v>
      </c>
      <c r="J83" s="1252">
        <f t="shared" si="27"/>
        <v>7.2249999999999748</v>
      </c>
      <c r="K83" s="1253">
        <f t="shared" si="28"/>
        <v>14.000000000000064</v>
      </c>
      <c r="L83" s="1132">
        <v>7.5</v>
      </c>
      <c r="M83" s="281"/>
      <c r="N83" s="282"/>
    </row>
    <row r="84" spans="1:14" ht="13" customHeight="1" x14ac:dyDescent="0.15">
      <c r="A84" s="1254">
        <v>7.6</v>
      </c>
      <c r="B84" s="1249">
        <f t="shared" si="20"/>
        <v>-9.127999999999993</v>
      </c>
      <c r="C84" s="474">
        <f t="shared" si="21"/>
        <v>-0.27599999999999536</v>
      </c>
      <c r="D84" s="1250">
        <f t="shared" si="22"/>
        <v>-4.7440000000000095</v>
      </c>
      <c r="E84" s="406">
        <f t="shared" si="23"/>
        <v>-26.758400000000112</v>
      </c>
      <c r="F84" s="441">
        <f t="shared" si="24"/>
        <v>-1.7120000000000033</v>
      </c>
      <c r="G84" s="348">
        <f t="shared" si="29"/>
        <v>-2.3679999999999968</v>
      </c>
      <c r="H84" s="373">
        <f t="shared" si="25"/>
        <v>-1.5199999999999669E-2</v>
      </c>
      <c r="I84" s="1251">
        <f t="shared" si="26"/>
        <v>5.523600000000024</v>
      </c>
      <c r="J84" s="1252">
        <f t="shared" si="27"/>
        <v>7.2159999999999744</v>
      </c>
      <c r="K84" s="1253">
        <f t="shared" si="28"/>
        <v>13.960000000000065</v>
      </c>
      <c r="L84" s="1132">
        <v>7.6</v>
      </c>
      <c r="M84" s="281"/>
      <c r="N84" s="282"/>
    </row>
    <row r="85" spans="1:14" ht="13" customHeight="1" x14ac:dyDescent="0.15">
      <c r="A85" s="1254">
        <v>7.7</v>
      </c>
      <c r="B85" s="1249">
        <f t="shared" si="20"/>
        <v>-9.2809999999999935</v>
      </c>
      <c r="C85" s="474">
        <f t="shared" si="21"/>
        <v>-0.35199999999999537</v>
      </c>
      <c r="D85" s="1250">
        <f t="shared" si="22"/>
        <v>-4.7630000000000097</v>
      </c>
      <c r="E85" s="406">
        <f t="shared" si="23"/>
        <v>-26.759300000000113</v>
      </c>
      <c r="F85" s="441">
        <f t="shared" si="24"/>
        <v>-1.7615000000000034</v>
      </c>
      <c r="G85" s="348">
        <f t="shared" si="29"/>
        <v>-2.3859999999999966</v>
      </c>
      <c r="H85" s="373">
        <f t="shared" si="25"/>
        <v>-3.5399999999999668E-2</v>
      </c>
      <c r="I85" s="1251">
        <f t="shared" si="26"/>
        <v>5.5147000000000244</v>
      </c>
      <c r="J85" s="1252">
        <f t="shared" si="27"/>
        <v>7.2069999999999741</v>
      </c>
      <c r="K85" s="1253">
        <f t="shared" si="28"/>
        <v>13.920000000000066</v>
      </c>
      <c r="L85" s="1132">
        <v>7.7</v>
      </c>
      <c r="M85" s="281"/>
      <c r="N85" s="282"/>
    </row>
    <row r="86" spans="1:14" ht="13" customHeight="1" x14ac:dyDescent="0.15">
      <c r="A86" s="1254">
        <v>7.8</v>
      </c>
      <c r="B86" s="1249">
        <f t="shared" si="20"/>
        <v>-9.4339999999999939</v>
      </c>
      <c r="C86" s="474">
        <f t="shared" si="21"/>
        <v>-0.42799999999999538</v>
      </c>
      <c r="D86" s="1250">
        <f t="shared" si="22"/>
        <v>-4.7820000000000098</v>
      </c>
      <c r="E86" s="406">
        <f t="shared" si="23"/>
        <v>-26.760200000000115</v>
      </c>
      <c r="F86" s="441">
        <f t="shared" si="24"/>
        <v>-1.8110000000000035</v>
      </c>
      <c r="G86" s="348">
        <f t="shared" si="29"/>
        <v>-2.4039999999999964</v>
      </c>
      <c r="H86" s="373">
        <f t="shared" si="25"/>
        <v>-5.5599999999999664E-2</v>
      </c>
      <c r="I86" s="1251">
        <f t="shared" si="26"/>
        <v>5.5058000000000247</v>
      </c>
      <c r="J86" s="1252">
        <f t="shared" si="27"/>
        <v>7.1979999999999738</v>
      </c>
      <c r="K86" s="1253">
        <f t="shared" si="28"/>
        <v>13.880000000000067</v>
      </c>
      <c r="L86" s="1132">
        <v>7.8</v>
      </c>
      <c r="M86" s="281"/>
      <c r="N86" s="282"/>
    </row>
    <row r="87" spans="1:14" ht="13" customHeight="1" x14ac:dyDescent="0.15">
      <c r="A87" s="1254">
        <v>7.9</v>
      </c>
      <c r="B87" s="1249">
        <f t="shared" si="20"/>
        <v>-9.5869999999999944</v>
      </c>
      <c r="C87" s="474">
        <f t="shared" si="21"/>
        <v>-0.50399999999999534</v>
      </c>
      <c r="D87" s="1250">
        <f t="shared" si="22"/>
        <v>-4.8010000000000099</v>
      </c>
      <c r="E87" s="406">
        <f t="shared" si="23"/>
        <v>-26.761100000000116</v>
      </c>
      <c r="F87" s="441">
        <f t="shared" si="24"/>
        <v>-1.8605000000000036</v>
      </c>
      <c r="G87" s="348">
        <f t="shared" si="29"/>
        <v>-2.4219999999999962</v>
      </c>
      <c r="H87" s="373">
        <f t="shared" si="25"/>
        <v>-7.5799999999999659E-2</v>
      </c>
      <c r="I87" s="1251">
        <f t="shared" si="26"/>
        <v>5.496900000000025</v>
      </c>
      <c r="J87" s="1252">
        <f t="shared" si="27"/>
        <v>7.1889999999999734</v>
      </c>
      <c r="K87" s="1253">
        <f t="shared" si="28"/>
        <v>13.840000000000067</v>
      </c>
      <c r="L87" s="1132">
        <v>7.9</v>
      </c>
      <c r="M87" s="281"/>
      <c r="N87" s="282"/>
    </row>
    <row r="88" spans="1:14" ht="15" customHeight="1" x14ac:dyDescent="0.15">
      <c r="A88" s="1248">
        <v>8</v>
      </c>
      <c r="B88" s="1249">
        <f t="shared" si="20"/>
        <v>-9.7399999999999949</v>
      </c>
      <c r="C88" s="474">
        <f t="shared" si="21"/>
        <v>-0.5799999999999953</v>
      </c>
      <c r="D88" s="1250">
        <f t="shared" si="22"/>
        <v>-4.8200000000000101</v>
      </c>
      <c r="E88" s="406">
        <f t="shared" si="23"/>
        <v>-26.762000000000118</v>
      </c>
      <c r="F88" s="441">
        <f t="shared" si="24"/>
        <v>-1.9100000000000037</v>
      </c>
      <c r="G88" s="348">
        <f t="shared" si="29"/>
        <v>-2.4399999999999959</v>
      </c>
      <c r="H88" s="373">
        <f t="shared" si="25"/>
        <v>-9.5999999999999655E-2</v>
      </c>
      <c r="I88" s="1251">
        <f t="shared" si="26"/>
        <v>5.4880000000000253</v>
      </c>
      <c r="J88" s="1252">
        <f t="shared" si="27"/>
        <v>7.1799999999999731</v>
      </c>
      <c r="K88" s="1253">
        <f t="shared" si="28"/>
        <v>13.800000000000068</v>
      </c>
      <c r="L88" s="1129">
        <v>8</v>
      </c>
      <c r="M88" s="281"/>
      <c r="N88" s="282"/>
    </row>
    <row r="89" spans="1:14" ht="13" customHeight="1" x14ac:dyDescent="0.15">
      <c r="A89" s="1254">
        <v>8.1</v>
      </c>
      <c r="B89" s="1249">
        <f t="shared" si="20"/>
        <v>-9.8929999999999954</v>
      </c>
      <c r="C89" s="474">
        <f t="shared" si="21"/>
        <v>-0.65599999999999525</v>
      </c>
      <c r="D89" s="1250">
        <f t="shared" si="22"/>
        <v>-4.8390000000000102</v>
      </c>
      <c r="E89" s="406">
        <f t="shared" si="23"/>
        <v>-26.762900000000119</v>
      </c>
      <c r="F89" s="441">
        <f t="shared" si="24"/>
        <v>-1.9595000000000038</v>
      </c>
      <c r="G89" s="348">
        <f t="shared" si="29"/>
        <v>-2.4579999999999957</v>
      </c>
      <c r="H89" s="373">
        <f t="shared" si="25"/>
        <v>-0.11619999999999965</v>
      </c>
      <c r="I89" s="1251">
        <f t="shared" si="26"/>
        <v>5.4791000000000256</v>
      </c>
      <c r="J89" s="1252">
        <f t="shared" si="27"/>
        <v>7.1709999999999727</v>
      </c>
      <c r="K89" s="1253">
        <f t="shared" si="28"/>
        <v>13.760000000000069</v>
      </c>
      <c r="L89" s="1132">
        <v>8.1</v>
      </c>
      <c r="M89" s="281"/>
      <c r="N89" s="282"/>
    </row>
    <row r="90" spans="1:14" ht="13" customHeight="1" x14ac:dyDescent="0.15">
      <c r="A90" s="1254">
        <v>8.1999999999999993</v>
      </c>
      <c r="B90" s="1249">
        <f t="shared" si="20"/>
        <v>-10.045999999999996</v>
      </c>
      <c r="C90" s="474">
        <f t="shared" si="21"/>
        <v>-0.73199999999999521</v>
      </c>
      <c r="D90" s="1250">
        <f t="shared" si="22"/>
        <v>-4.8580000000000103</v>
      </c>
      <c r="E90" s="406">
        <f t="shared" si="23"/>
        <v>-26.763800000000121</v>
      </c>
      <c r="F90" s="441">
        <f t="shared" si="24"/>
        <v>-2.0090000000000039</v>
      </c>
      <c r="G90" s="348">
        <f t="shared" si="29"/>
        <v>-2.4759999999999955</v>
      </c>
      <c r="H90" s="373">
        <f t="shared" si="25"/>
        <v>-0.13639999999999966</v>
      </c>
      <c r="I90" s="1251">
        <f t="shared" si="26"/>
        <v>5.4702000000000259</v>
      </c>
      <c r="J90" s="1252">
        <f t="shared" si="27"/>
        <v>7.1619999999999724</v>
      </c>
      <c r="K90" s="1253">
        <f t="shared" si="28"/>
        <v>13.72000000000007</v>
      </c>
      <c r="L90" s="1132">
        <v>8.1999999999999993</v>
      </c>
      <c r="M90" s="281"/>
      <c r="N90" s="282"/>
    </row>
    <row r="91" spans="1:14" ht="13" customHeight="1" x14ac:dyDescent="0.15">
      <c r="A91" s="1254">
        <v>8.3000000000000007</v>
      </c>
      <c r="B91" s="1249">
        <f t="shared" si="20"/>
        <v>-10.198999999999996</v>
      </c>
      <c r="C91" s="474">
        <f t="shared" si="21"/>
        <v>-0.80799999999999517</v>
      </c>
      <c r="D91" s="1250">
        <f t="shared" si="22"/>
        <v>-4.8770000000000104</v>
      </c>
      <c r="E91" s="406">
        <f t="shared" si="23"/>
        <v>-26.764700000000122</v>
      </c>
      <c r="F91" s="441">
        <f t="shared" si="24"/>
        <v>-2.058500000000004</v>
      </c>
      <c r="G91" s="348">
        <f t="shared" si="29"/>
        <v>-2.4939999999999953</v>
      </c>
      <c r="H91" s="373">
        <f t="shared" si="25"/>
        <v>-0.15659999999999966</v>
      </c>
      <c r="I91" s="1251">
        <f t="shared" si="26"/>
        <v>5.4613000000000262</v>
      </c>
      <c r="J91" s="1252">
        <f t="shared" si="27"/>
        <v>7.152999999999972</v>
      </c>
      <c r="K91" s="1253">
        <f t="shared" si="28"/>
        <v>13.680000000000071</v>
      </c>
      <c r="L91" s="1132">
        <v>8.3000000000000007</v>
      </c>
      <c r="M91" s="281"/>
      <c r="N91" s="282"/>
    </row>
    <row r="92" spans="1:14" ht="13" customHeight="1" x14ac:dyDescent="0.15">
      <c r="A92" s="1254">
        <v>8.4</v>
      </c>
      <c r="B92" s="1249">
        <f t="shared" si="20"/>
        <v>-10.351999999999997</v>
      </c>
      <c r="C92" s="474">
        <f t="shared" si="21"/>
        <v>-0.88399999999999512</v>
      </c>
      <c r="D92" s="1250">
        <f t="shared" si="22"/>
        <v>-4.8960000000000106</v>
      </c>
      <c r="E92" s="406">
        <f t="shared" si="23"/>
        <v>-26.765600000000124</v>
      </c>
      <c r="F92" s="441">
        <f t="shared" si="24"/>
        <v>-2.1080000000000041</v>
      </c>
      <c r="G92" s="348">
        <f t="shared" si="29"/>
        <v>-2.5119999999999951</v>
      </c>
      <c r="H92" s="373">
        <f t="shared" si="25"/>
        <v>-0.17679999999999965</v>
      </c>
      <c r="I92" s="1251">
        <f t="shared" si="26"/>
        <v>5.4524000000000266</v>
      </c>
      <c r="J92" s="1252">
        <f t="shared" si="27"/>
        <v>7.1439999999999717</v>
      </c>
      <c r="K92" s="1253">
        <f t="shared" si="28"/>
        <v>13.640000000000072</v>
      </c>
      <c r="L92" s="1132">
        <v>8.4</v>
      </c>
      <c r="M92" s="281"/>
      <c r="N92" s="282"/>
    </row>
    <row r="93" spans="1:14" ht="13" customHeight="1" x14ac:dyDescent="0.15">
      <c r="A93" s="1254">
        <v>8.5</v>
      </c>
      <c r="B93" s="1249">
        <f t="shared" si="20"/>
        <v>-10.504999999999997</v>
      </c>
      <c r="C93" s="474">
        <f t="shared" si="21"/>
        <v>-0.95999999999999508</v>
      </c>
      <c r="D93" s="1250">
        <f t="shared" si="22"/>
        <v>-4.9150000000000107</v>
      </c>
      <c r="E93" s="406">
        <f t="shared" si="23"/>
        <v>-26.766500000000125</v>
      </c>
      <c r="F93" s="441">
        <f t="shared" si="24"/>
        <v>-2.1575000000000042</v>
      </c>
      <c r="G93" s="348">
        <f t="shared" si="29"/>
        <v>-2.5299999999999949</v>
      </c>
      <c r="H93" s="373">
        <f t="shared" si="25"/>
        <v>-0.19699999999999965</v>
      </c>
      <c r="I93" s="1251">
        <f t="shared" si="26"/>
        <v>5.4435000000000269</v>
      </c>
      <c r="J93" s="1252">
        <f t="shared" si="27"/>
        <v>7.1349999999999714</v>
      </c>
      <c r="K93" s="1253">
        <f t="shared" si="28"/>
        <v>13.600000000000072</v>
      </c>
      <c r="L93" s="1132">
        <v>8.5</v>
      </c>
      <c r="M93" s="281"/>
      <c r="N93" s="282"/>
    </row>
    <row r="94" spans="1:14" ht="13" customHeight="1" x14ac:dyDescent="0.15">
      <c r="A94" s="1254">
        <v>8.6</v>
      </c>
      <c r="B94" s="1249">
        <f t="shared" si="20"/>
        <v>-10.657999999999998</v>
      </c>
      <c r="C94" s="474">
        <f t="shared" si="21"/>
        <v>-1.0359999999999951</v>
      </c>
      <c r="D94" s="1250">
        <f t="shared" si="22"/>
        <v>-4.9340000000000108</v>
      </c>
      <c r="E94" s="406">
        <f t="shared" si="23"/>
        <v>-26.767400000000126</v>
      </c>
      <c r="F94" s="441">
        <f t="shared" si="24"/>
        <v>-2.2070000000000043</v>
      </c>
      <c r="G94" s="348">
        <f t="shared" si="29"/>
        <v>-2.5479999999999947</v>
      </c>
      <c r="H94" s="373">
        <f t="shared" si="25"/>
        <v>-0.21719999999999964</v>
      </c>
      <c r="I94" s="1251">
        <f t="shared" si="26"/>
        <v>5.4346000000000272</v>
      </c>
      <c r="J94" s="1252">
        <f t="shared" si="27"/>
        <v>7.125999999999971</v>
      </c>
      <c r="K94" s="1253">
        <f t="shared" si="28"/>
        <v>13.560000000000073</v>
      </c>
      <c r="L94" s="1132">
        <v>8.6</v>
      </c>
      <c r="M94" s="281"/>
      <c r="N94" s="282"/>
    </row>
    <row r="95" spans="1:14" ht="13" customHeight="1" x14ac:dyDescent="0.15">
      <c r="A95" s="1254">
        <v>8.6999999999999993</v>
      </c>
      <c r="B95" s="1249">
        <f t="shared" si="20"/>
        <v>-10.810999999999998</v>
      </c>
      <c r="C95" s="474">
        <f t="shared" si="21"/>
        <v>-1.1119999999999952</v>
      </c>
      <c r="D95" s="1250">
        <f t="shared" si="22"/>
        <v>-4.9530000000000109</v>
      </c>
      <c r="E95" s="406">
        <f t="shared" si="23"/>
        <v>-26.768300000000128</v>
      </c>
      <c r="F95" s="441">
        <f t="shared" si="24"/>
        <v>-2.2565000000000044</v>
      </c>
      <c r="G95" s="348">
        <f t="shared" si="29"/>
        <v>-2.5659999999999945</v>
      </c>
      <c r="H95" s="373">
        <f t="shared" si="25"/>
        <v>-0.23739999999999964</v>
      </c>
      <c r="I95" s="1251">
        <f t="shared" si="26"/>
        <v>5.4257000000000275</v>
      </c>
      <c r="J95" s="1252">
        <f t="shared" si="27"/>
        <v>7.1169999999999707</v>
      </c>
      <c r="K95" s="1253">
        <f t="shared" si="28"/>
        <v>13.520000000000074</v>
      </c>
      <c r="L95" s="1132">
        <v>8.6999999999999993</v>
      </c>
      <c r="M95" s="281"/>
      <c r="N95" s="282"/>
    </row>
    <row r="96" spans="1:14" ht="13" customHeight="1" x14ac:dyDescent="0.15">
      <c r="A96" s="1254">
        <v>8.8000000000000007</v>
      </c>
      <c r="B96" s="1249">
        <f t="shared" si="20"/>
        <v>-10.963999999999999</v>
      </c>
      <c r="C96" s="474">
        <f t="shared" si="21"/>
        <v>-1.1879999999999953</v>
      </c>
      <c r="D96" s="1250">
        <f t="shared" si="22"/>
        <v>-4.9720000000000111</v>
      </c>
      <c r="E96" s="406">
        <f t="shared" si="23"/>
        <v>-26.769200000000129</v>
      </c>
      <c r="F96" s="441">
        <f t="shared" si="24"/>
        <v>-2.3060000000000045</v>
      </c>
      <c r="G96" s="348">
        <f t="shared" si="29"/>
        <v>-2.5839999999999943</v>
      </c>
      <c r="H96" s="373">
        <f t="shared" si="25"/>
        <v>-0.25759999999999966</v>
      </c>
      <c r="I96" s="1251">
        <f t="shared" si="26"/>
        <v>5.4168000000000278</v>
      </c>
      <c r="J96" s="1252">
        <f t="shared" si="27"/>
        <v>7.1079999999999703</v>
      </c>
      <c r="K96" s="1253">
        <f t="shared" si="28"/>
        <v>13.480000000000075</v>
      </c>
      <c r="L96" s="1132">
        <v>8.8000000000000007</v>
      </c>
      <c r="M96" s="281"/>
      <c r="N96" s="282"/>
    </row>
    <row r="97" spans="1:14" ht="13" customHeight="1" x14ac:dyDescent="0.15">
      <c r="A97" s="1254">
        <v>8.9</v>
      </c>
      <c r="B97" s="1249">
        <f t="shared" si="20"/>
        <v>-11.116999999999999</v>
      </c>
      <c r="C97" s="474">
        <f t="shared" si="21"/>
        <v>-1.2639999999999953</v>
      </c>
      <c r="D97" s="1250">
        <f t="shared" si="22"/>
        <v>-4.9910000000000112</v>
      </c>
      <c r="E97" s="406">
        <f t="shared" si="23"/>
        <v>-26.770100000000131</v>
      </c>
      <c r="F97" s="441">
        <f t="shared" si="24"/>
        <v>-2.3555000000000046</v>
      </c>
      <c r="G97" s="348">
        <f t="shared" si="29"/>
        <v>-2.6019999999999941</v>
      </c>
      <c r="H97" s="373">
        <f t="shared" si="25"/>
        <v>-0.27779999999999966</v>
      </c>
      <c r="I97" s="1251">
        <f t="shared" si="26"/>
        <v>5.4079000000000281</v>
      </c>
      <c r="J97" s="1252">
        <f t="shared" si="27"/>
        <v>7.09899999999997</v>
      </c>
      <c r="K97" s="1253">
        <f t="shared" si="28"/>
        <v>13.440000000000076</v>
      </c>
      <c r="L97" s="1132">
        <v>8.9</v>
      </c>
      <c r="M97" s="281"/>
      <c r="N97" s="282"/>
    </row>
    <row r="98" spans="1:14" ht="15" customHeight="1" x14ac:dyDescent="0.15">
      <c r="A98" s="1248">
        <v>9</v>
      </c>
      <c r="B98" s="1249">
        <f t="shared" si="20"/>
        <v>-11.27</v>
      </c>
      <c r="C98" s="474">
        <f t="shared" si="21"/>
        <v>-1.3399999999999954</v>
      </c>
      <c r="D98" s="1250">
        <f t="shared" si="22"/>
        <v>-5.0100000000000113</v>
      </c>
      <c r="E98" s="406">
        <f t="shared" si="23"/>
        <v>-26.771000000000132</v>
      </c>
      <c r="F98" s="441">
        <f t="shared" si="24"/>
        <v>-2.4050000000000047</v>
      </c>
      <c r="G98" s="348">
        <f t="shared" si="29"/>
        <v>-2.6199999999999939</v>
      </c>
      <c r="H98" s="373">
        <f t="shared" si="25"/>
        <v>-0.29799999999999965</v>
      </c>
      <c r="I98" s="1251">
        <f t="shared" si="26"/>
        <v>5.3990000000000284</v>
      </c>
      <c r="J98" s="1252">
        <f t="shared" si="27"/>
        <v>7.0899999999999697</v>
      </c>
      <c r="K98" s="1253">
        <f t="shared" si="28"/>
        <v>13.400000000000077</v>
      </c>
      <c r="L98" s="1129">
        <v>9</v>
      </c>
      <c r="M98" s="281"/>
      <c r="N98" s="282"/>
    </row>
    <row r="99" spans="1:14" ht="13" customHeight="1" x14ac:dyDescent="0.15">
      <c r="A99" s="1254">
        <v>9.1</v>
      </c>
      <c r="B99" s="1249">
        <f t="shared" si="20"/>
        <v>-11.423</v>
      </c>
      <c r="C99" s="474">
        <f t="shared" si="21"/>
        <v>-1.4159999999999955</v>
      </c>
      <c r="D99" s="1250">
        <f t="shared" si="22"/>
        <v>-5.0290000000000115</v>
      </c>
      <c r="E99" s="406">
        <f t="shared" si="23"/>
        <v>-26.771900000000134</v>
      </c>
      <c r="F99" s="441">
        <f t="shared" si="24"/>
        <v>-2.4545000000000048</v>
      </c>
      <c r="G99" s="348">
        <f t="shared" si="29"/>
        <v>-2.6379999999999937</v>
      </c>
      <c r="H99" s="373">
        <f t="shared" si="25"/>
        <v>-0.31819999999999965</v>
      </c>
      <c r="I99" s="1251">
        <f t="shared" si="26"/>
        <v>5.3901000000000288</v>
      </c>
      <c r="J99" s="1252">
        <f t="shared" si="27"/>
        <v>7.0809999999999693</v>
      </c>
      <c r="K99" s="1253">
        <f t="shared" si="28"/>
        <v>13.360000000000078</v>
      </c>
      <c r="L99" s="1132">
        <v>9.1</v>
      </c>
      <c r="M99" s="281"/>
      <c r="N99" s="282"/>
    </row>
    <row r="100" spans="1:14" ht="13" customHeight="1" x14ac:dyDescent="0.15">
      <c r="A100" s="1254">
        <v>9.1999999999999993</v>
      </c>
      <c r="B100" s="1249">
        <f t="shared" si="20"/>
        <v>-11.576000000000001</v>
      </c>
      <c r="C100" s="474">
        <f t="shared" si="21"/>
        <v>-1.4919999999999956</v>
      </c>
      <c r="D100" s="1250">
        <f t="shared" si="22"/>
        <v>-5.0480000000000116</v>
      </c>
      <c r="E100" s="406">
        <f t="shared" si="23"/>
        <v>-26.772800000000135</v>
      </c>
      <c r="F100" s="441">
        <f t="shared" si="24"/>
        <v>-2.5040000000000049</v>
      </c>
      <c r="G100" s="348">
        <f t="shared" si="29"/>
        <v>-2.6559999999999935</v>
      </c>
      <c r="H100" s="373">
        <f t="shared" si="25"/>
        <v>-0.33839999999999965</v>
      </c>
      <c r="I100" s="1251">
        <f t="shared" si="26"/>
        <v>5.3812000000000291</v>
      </c>
      <c r="J100" s="1252">
        <f t="shared" si="27"/>
        <v>7.071999999999969</v>
      </c>
      <c r="K100" s="1253">
        <f t="shared" si="28"/>
        <v>13.320000000000078</v>
      </c>
      <c r="L100" s="1132">
        <v>9.1999999999999993</v>
      </c>
      <c r="M100" s="281"/>
      <c r="N100" s="282"/>
    </row>
    <row r="101" spans="1:14" ht="13" customHeight="1" x14ac:dyDescent="0.15">
      <c r="A101" s="1254">
        <v>9.3000000000000007</v>
      </c>
      <c r="B101" s="1249">
        <f t="shared" si="20"/>
        <v>-11.729000000000001</v>
      </c>
      <c r="C101" s="474">
        <f t="shared" si="21"/>
        <v>-1.5679999999999956</v>
      </c>
      <c r="D101" s="1250">
        <f t="shared" si="22"/>
        <v>-5.0670000000000117</v>
      </c>
      <c r="E101" s="406">
        <f t="shared" si="23"/>
        <v>-26.773700000000137</v>
      </c>
      <c r="F101" s="441">
        <f t="shared" si="24"/>
        <v>-2.553500000000005</v>
      </c>
      <c r="G101" s="348">
        <f t="shared" si="29"/>
        <v>-2.6739999999999933</v>
      </c>
      <c r="H101" s="373">
        <f t="shared" si="25"/>
        <v>-0.35859999999999964</v>
      </c>
      <c r="I101" s="1251">
        <f t="shared" si="26"/>
        <v>5.3723000000000294</v>
      </c>
      <c r="J101" s="1252">
        <f t="shared" si="27"/>
        <v>7.0629999999999686</v>
      </c>
      <c r="K101" s="1253">
        <f t="shared" si="28"/>
        <v>13.280000000000079</v>
      </c>
      <c r="L101" s="1132">
        <v>9.3000000000000007</v>
      </c>
      <c r="M101" s="281"/>
      <c r="N101" s="282"/>
    </row>
    <row r="102" spans="1:14" ht="13" customHeight="1" x14ac:dyDescent="0.15">
      <c r="A102" s="1254">
        <v>9.4</v>
      </c>
      <c r="B102" s="1249">
        <f t="shared" si="20"/>
        <v>-11.882000000000001</v>
      </c>
      <c r="C102" s="474">
        <f t="shared" si="21"/>
        <v>-1.6439999999999957</v>
      </c>
      <c r="D102" s="1250">
        <f t="shared" si="22"/>
        <v>-5.0860000000000118</v>
      </c>
      <c r="E102" s="406">
        <f t="shared" si="23"/>
        <v>-26.774600000000138</v>
      </c>
      <c r="F102" s="441">
        <f t="shared" si="24"/>
        <v>-2.6030000000000051</v>
      </c>
      <c r="G102" s="348">
        <f t="shared" si="29"/>
        <v>-2.6919999999999931</v>
      </c>
      <c r="H102" s="373">
        <f t="shared" si="25"/>
        <v>-0.37879999999999964</v>
      </c>
      <c r="I102" s="1251">
        <f t="shared" si="26"/>
        <v>5.3634000000000297</v>
      </c>
      <c r="J102" s="1252">
        <f t="shared" si="27"/>
        <v>7.0539999999999683</v>
      </c>
      <c r="K102" s="1253">
        <f t="shared" si="28"/>
        <v>13.24000000000008</v>
      </c>
      <c r="L102" s="1132">
        <v>9.4</v>
      </c>
      <c r="M102" s="281"/>
      <c r="N102" s="282"/>
    </row>
    <row r="103" spans="1:14" ht="13" customHeight="1" x14ac:dyDescent="0.15">
      <c r="A103" s="1254">
        <v>9.5</v>
      </c>
      <c r="B103" s="1249">
        <f t="shared" si="20"/>
        <v>-12.035000000000002</v>
      </c>
      <c r="C103" s="474">
        <f t="shared" si="21"/>
        <v>-1.7199999999999958</v>
      </c>
      <c r="D103" s="1250">
        <f t="shared" si="22"/>
        <v>-5.105000000000012</v>
      </c>
      <c r="E103" s="406">
        <f t="shared" si="23"/>
        <v>-26.77550000000014</v>
      </c>
      <c r="F103" s="441">
        <f t="shared" si="24"/>
        <v>-2.6525000000000052</v>
      </c>
      <c r="G103" s="348">
        <f t="shared" si="29"/>
        <v>-2.7099999999999929</v>
      </c>
      <c r="H103" s="373">
        <f t="shared" si="25"/>
        <v>-0.39899999999999963</v>
      </c>
      <c r="I103" s="1251">
        <f t="shared" si="26"/>
        <v>5.35450000000003</v>
      </c>
      <c r="J103" s="1252">
        <f t="shared" si="27"/>
        <v>7.044999999999968</v>
      </c>
      <c r="K103" s="1253">
        <f t="shared" si="28"/>
        <v>13.200000000000081</v>
      </c>
      <c r="L103" s="1132">
        <v>9.5</v>
      </c>
      <c r="M103" s="281"/>
      <c r="N103" s="282"/>
    </row>
    <row r="104" spans="1:14" ht="13" customHeight="1" x14ac:dyDescent="0.15">
      <c r="A104" s="1254">
        <v>9.6</v>
      </c>
      <c r="B104" s="1249">
        <f t="shared" si="20"/>
        <v>-12.188000000000002</v>
      </c>
      <c r="C104" s="474">
        <f t="shared" si="21"/>
        <v>-1.7959999999999958</v>
      </c>
      <c r="D104" s="1250">
        <f t="shared" si="22"/>
        <v>-5.1240000000000121</v>
      </c>
      <c r="E104" s="406">
        <f t="shared" si="23"/>
        <v>-26.776400000000141</v>
      </c>
      <c r="F104" s="441">
        <f t="shared" si="24"/>
        <v>-2.7020000000000053</v>
      </c>
      <c r="G104" s="348">
        <f t="shared" si="29"/>
        <v>-2.7279999999999927</v>
      </c>
      <c r="H104" s="373">
        <f t="shared" si="25"/>
        <v>-0.41919999999999963</v>
      </c>
      <c r="I104" s="1251">
        <f t="shared" si="26"/>
        <v>5.3456000000000303</v>
      </c>
      <c r="J104" s="1252">
        <f t="shared" si="27"/>
        <v>7.0359999999999676</v>
      </c>
      <c r="K104" s="1253">
        <f t="shared" si="28"/>
        <v>13.160000000000082</v>
      </c>
      <c r="L104" s="1132">
        <v>9.6</v>
      </c>
      <c r="M104" s="281"/>
      <c r="N104" s="282"/>
    </row>
    <row r="105" spans="1:14" ht="13" customHeight="1" x14ac:dyDescent="0.15">
      <c r="A105" s="1254">
        <v>9.6999999999999993</v>
      </c>
      <c r="B105" s="1249">
        <f t="shared" si="20"/>
        <v>-12.341000000000003</v>
      </c>
      <c r="C105" s="474">
        <f t="shared" si="21"/>
        <v>-1.8719999999999959</v>
      </c>
      <c r="D105" s="1250">
        <f t="shared" si="22"/>
        <v>-5.1430000000000122</v>
      </c>
      <c r="E105" s="406">
        <f t="shared" si="23"/>
        <v>-26.777300000000142</v>
      </c>
      <c r="F105" s="441">
        <f t="shared" si="24"/>
        <v>-2.7515000000000054</v>
      </c>
      <c r="G105" s="348">
        <f t="shared" si="29"/>
        <v>-2.7459999999999924</v>
      </c>
      <c r="H105" s="373">
        <f t="shared" si="25"/>
        <v>-0.43939999999999962</v>
      </c>
      <c r="I105" s="1251">
        <f t="shared" si="26"/>
        <v>5.3367000000000306</v>
      </c>
      <c r="J105" s="1252">
        <f t="shared" si="27"/>
        <v>7.0269999999999673</v>
      </c>
      <c r="K105" s="1253">
        <f t="shared" si="28"/>
        <v>13.120000000000083</v>
      </c>
      <c r="L105" s="1132">
        <v>9.6999999999999993</v>
      </c>
      <c r="M105" s="281"/>
      <c r="N105" s="282"/>
    </row>
    <row r="106" spans="1:14" ht="13" customHeight="1" x14ac:dyDescent="0.15">
      <c r="A106" s="1254">
        <v>9.8000000000000007</v>
      </c>
      <c r="B106" s="1249">
        <f t="shared" si="20"/>
        <v>-12.494000000000003</v>
      </c>
      <c r="C106" s="474">
        <f t="shared" si="21"/>
        <v>-1.947999999999996</v>
      </c>
      <c r="D106" s="1250">
        <f t="shared" si="22"/>
        <v>-5.1620000000000124</v>
      </c>
      <c r="E106" s="406">
        <f t="shared" si="23"/>
        <v>-26.778200000000144</v>
      </c>
      <c r="F106" s="441">
        <f t="shared" si="24"/>
        <v>-2.8010000000000055</v>
      </c>
      <c r="G106" s="348">
        <f t="shared" si="29"/>
        <v>-2.7639999999999922</v>
      </c>
      <c r="H106" s="373">
        <f t="shared" si="25"/>
        <v>-0.45959999999999962</v>
      </c>
      <c r="I106" s="1251">
        <f t="shared" si="26"/>
        <v>5.327800000000031</v>
      </c>
      <c r="J106" s="1252">
        <f t="shared" si="27"/>
        <v>7.0179999999999669</v>
      </c>
      <c r="K106" s="1253">
        <f t="shared" si="28"/>
        <v>13.080000000000084</v>
      </c>
      <c r="L106" s="1132">
        <v>9.8000000000000007</v>
      </c>
      <c r="M106" s="281"/>
      <c r="N106" s="282"/>
    </row>
    <row r="107" spans="1:14" ht="13" customHeight="1" x14ac:dyDescent="0.15">
      <c r="A107" s="1254">
        <v>9.9</v>
      </c>
      <c r="B107" s="1249">
        <f t="shared" si="20"/>
        <v>-12.647000000000004</v>
      </c>
      <c r="C107" s="474">
        <f t="shared" si="21"/>
        <v>-2.023999999999996</v>
      </c>
      <c r="D107" s="1250">
        <f t="shared" si="22"/>
        <v>-5.1810000000000125</v>
      </c>
      <c r="E107" s="406">
        <f t="shared" si="23"/>
        <v>-26.779100000000145</v>
      </c>
      <c r="F107" s="441">
        <f t="shared" si="24"/>
        <v>-2.8505000000000056</v>
      </c>
      <c r="G107" s="348">
        <f t="shared" si="29"/>
        <v>-2.781999999999992</v>
      </c>
      <c r="H107" s="373">
        <f t="shared" si="25"/>
        <v>-0.47979999999999962</v>
      </c>
      <c r="I107" s="1251">
        <f t="shared" si="26"/>
        <v>5.3189000000000313</v>
      </c>
      <c r="J107" s="1252">
        <f t="shared" si="27"/>
        <v>7.0089999999999666</v>
      </c>
      <c r="K107" s="1253">
        <f t="shared" si="28"/>
        <v>13.040000000000084</v>
      </c>
      <c r="L107" s="1132">
        <v>9.9</v>
      </c>
      <c r="M107" s="281"/>
      <c r="N107" s="282"/>
    </row>
    <row r="108" spans="1:14" ht="15" customHeight="1" x14ac:dyDescent="0.15">
      <c r="A108" s="1248">
        <v>10</v>
      </c>
      <c r="B108" s="1249">
        <f t="shared" si="20"/>
        <v>-12.800000000000004</v>
      </c>
      <c r="C108" s="474">
        <f t="shared" si="21"/>
        <v>-2.0999999999999961</v>
      </c>
      <c r="D108" s="1250">
        <f t="shared" si="22"/>
        <v>-5.2000000000000126</v>
      </c>
      <c r="E108" s="406">
        <f t="shared" si="23"/>
        <v>-26.780000000000147</v>
      </c>
      <c r="F108" s="441">
        <f t="shared" si="24"/>
        <v>-2.9000000000000057</v>
      </c>
      <c r="G108" s="348">
        <f t="shared" si="29"/>
        <v>-2.7999999999999918</v>
      </c>
      <c r="H108" s="373">
        <f t="shared" si="25"/>
        <v>-0.49999999999999961</v>
      </c>
      <c r="I108" s="1251">
        <f t="shared" si="26"/>
        <v>5.3100000000000316</v>
      </c>
      <c r="J108" s="1252">
        <f t="shared" si="27"/>
        <v>6.9999999999999662</v>
      </c>
      <c r="K108" s="1253">
        <f t="shared" si="28"/>
        <v>13.000000000000085</v>
      </c>
      <c r="L108" s="1129">
        <v>10</v>
      </c>
      <c r="M108" s="281"/>
      <c r="N108" s="282"/>
    </row>
    <row r="109" spans="1:14" ht="35" customHeight="1" x14ac:dyDescent="0.15">
      <c r="A109" s="1255"/>
      <c r="B109" s="1140" t="s">
        <v>9</v>
      </c>
      <c r="C109" s="1141" t="s">
        <v>10</v>
      </c>
      <c r="D109" s="1142" t="s">
        <v>11</v>
      </c>
      <c r="E109" s="1256" t="s">
        <v>23</v>
      </c>
      <c r="F109" s="1144" t="s">
        <v>13</v>
      </c>
      <c r="G109" s="1145" t="s">
        <v>14</v>
      </c>
      <c r="H109" s="1146" t="s">
        <v>15</v>
      </c>
      <c r="I109" s="1147" t="s">
        <v>16</v>
      </c>
      <c r="J109" s="1148" t="s">
        <v>17</v>
      </c>
      <c r="K109" s="1149" t="s">
        <v>18</v>
      </c>
      <c r="L109" s="747"/>
      <c r="M109" s="747"/>
      <c r="N109" s="748"/>
    </row>
  </sheetData>
  <pageMargins left="0.74791700000000005" right="0.74791700000000005" top="0.98402800000000001" bottom="0.98402800000000001" header="0.51180599999999998" footer="0.51180599999999998"/>
  <pageSetup orientation="portrait"/>
  <headerFooter>
    <oddFooter>&amp;C&amp;"Helvetica Neue,Regular"&amp;12&amp;K000000&amp;P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showGridLines="0" workbookViewId="0">
      <selection activeCell="R34" sqref="R34"/>
    </sheetView>
  </sheetViews>
  <sheetFormatPr baseColWidth="10" defaultColWidth="8.83203125" defaultRowHeight="13" customHeight="1" x14ac:dyDescent="0.15"/>
  <cols>
    <col min="1" max="1" width="2.33203125" style="1257" customWidth="1"/>
    <col min="2" max="2" width="10.6640625" style="1257" customWidth="1"/>
    <col min="3" max="3" width="15.5" style="1257" customWidth="1"/>
    <col min="4" max="4" width="12.83203125" style="1257" customWidth="1"/>
    <col min="5" max="5" width="13.33203125" style="1257" customWidth="1"/>
    <col min="6" max="6" width="17.6640625" style="1257" customWidth="1"/>
    <col min="7" max="9" width="12.1640625" style="1257" customWidth="1"/>
    <col min="10" max="10" width="11.1640625" style="1257" customWidth="1"/>
    <col min="11" max="11" width="13.33203125" style="1257" customWidth="1"/>
    <col min="12" max="12" width="15.5" style="1257" customWidth="1"/>
    <col min="13" max="13" width="10.6640625" style="1257" customWidth="1"/>
    <col min="14" max="14" width="18.83203125" style="1257" customWidth="1"/>
    <col min="15" max="15" width="8.83203125" style="1257" customWidth="1"/>
    <col min="16" max="16" width="13.83203125" style="1194" customWidth="1"/>
    <col min="17" max="17" width="8.83203125" customWidth="1"/>
    <col min="18" max="18" width="16.33203125" customWidth="1"/>
    <col min="19" max="256" width="8.83203125" customWidth="1"/>
  </cols>
  <sheetData>
    <row r="1" spans="1:18" ht="13.75" customHeight="1" x14ac:dyDescent="0.15">
      <c r="A1" s="261"/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</row>
    <row r="2" spans="1:18" ht="30" customHeight="1" x14ac:dyDescent="0.15">
      <c r="A2" s="283"/>
      <c r="B2" s="1258" t="s">
        <v>331</v>
      </c>
      <c r="C2" s="30" t="s">
        <v>9</v>
      </c>
      <c r="D2" s="31" t="s">
        <v>10</v>
      </c>
      <c r="E2" s="32" t="s">
        <v>11</v>
      </c>
      <c r="F2" s="908" t="s">
        <v>23</v>
      </c>
      <c r="G2" s="34" t="s">
        <v>13</v>
      </c>
      <c r="H2" s="909" t="s">
        <v>14</v>
      </c>
      <c r="I2" s="815" t="s">
        <v>15</v>
      </c>
      <c r="J2" s="37" t="s">
        <v>16</v>
      </c>
      <c r="K2" s="38" t="s">
        <v>17</v>
      </c>
      <c r="L2" s="39" t="s">
        <v>18</v>
      </c>
      <c r="M2" s="1258" t="s">
        <v>331</v>
      </c>
      <c r="N2" s="636" t="s">
        <v>344</v>
      </c>
      <c r="O2" s="281"/>
      <c r="P2" s="281"/>
      <c r="R2" s="1623">
        <v>2268.431</v>
      </c>
    </row>
    <row r="3" spans="1:18" ht="15" customHeight="1" x14ac:dyDescent="0.15">
      <c r="A3" s="283"/>
      <c r="B3" s="1199">
        <v>0</v>
      </c>
      <c r="C3" s="1622">
        <v>1350.54321</v>
      </c>
      <c r="D3" s="1201">
        <v>2.4945999999999999E-2</v>
      </c>
      <c r="E3" s="1259">
        <v>0.26859300000000003</v>
      </c>
      <c r="F3" s="1202">
        <v>318433.23130599997</v>
      </c>
      <c r="G3" s="1203">
        <v>1.4853E-2</v>
      </c>
      <c r="H3" s="1204">
        <v>7.5890827999999999</v>
      </c>
      <c r="I3" s="1260">
        <v>0.77129490000000001</v>
      </c>
      <c r="J3" s="1205">
        <v>3.2618500000000002E-2</v>
      </c>
      <c r="K3" s="1261">
        <v>1.7485150000000001E-2</v>
      </c>
      <c r="L3" s="1262">
        <v>1.02E-6</v>
      </c>
      <c r="M3" s="1199">
        <v>0</v>
      </c>
      <c r="N3" s="900">
        <v>319972.01140036999</v>
      </c>
      <c r="O3" s="281"/>
      <c r="P3" s="900"/>
      <c r="R3" s="1622">
        <v>1350.54321</v>
      </c>
    </row>
    <row r="4" spans="1:18" ht="14" customHeight="1" x14ac:dyDescent="0.15">
      <c r="A4" s="283"/>
      <c r="B4" s="1208">
        <v>0.1</v>
      </c>
      <c r="C4" s="724">
        <f>C3+9.1788779</f>
        <v>1359.7220879000001</v>
      </c>
      <c r="D4" s="447">
        <v>2.6777039999999998E-2</v>
      </c>
      <c r="E4" s="846">
        <v>0.38923310999999999</v>
      </c>
      <c r="F4" s="536">
        <v>318677.96563216997</v>
      </c>
      <c r="G4" s="737">
        <v>2.293137E-2</v>
      </c>
      <c r="H4" s="516">
        <v>7.7201722999999998</v>
      </c>
      <c r="I4" s="497">
        <v>0.77863959999999999</v>
      </c>
      <c r="J4" s="529">
        <v>3.2782800000000001E-2</v>
      </c>
      <c r="K4" s="1133">
        <v>1.7519630000000001E-2</v>
      </c>
      <c r="L4" s="522">
        <v>1.0499999999999999E-6</v>
      </c>
      <c r="M4" s="1208">
        <v>0.1</v>
      </c>
      <c r="N4" s="900">
        <v>320224.39860682999</v>
      </c>
      <c r="O4" s="281"/>
      <c r="P4" s="1621"/>
      <c r="R4" s="1622"/>
    </row>
    <row r="5" spans="1:18" ht="14" customHeight="1" x14ac:dyDescent="0.15">
      <c r="A5" s="283"/>
      <c r="B5" s="1208">
        <v>0.2</v>
      </c>
      <c r="C5" s="724">
        <f>C4+9.1788779</f>
        <v>1368.9009658000002</v>
      </c>
      <c r="D5" s="447">
        <v>2.8608080000000001E-2</v>
      </c>
      <c r="E5" s="846">
        <v>0.50987322000000002</v>
      </c>
      <c r="F5" s="536">
        <v>318922.69995833997</v>
      </c>
      <c r="G5" s="737">
        <v>3.1009729999999999E-2</v>
      </c>
      <c r="H5" s="516">
        <v>7.8512617999999996</v>
      </c>
      <c r="I5" s="497">
        <v>0.78598429999999997</v>
      </c>
      <c r="J5" s="529">
        <v>3.29471E-2</v>
      </c>
      <c r="K5" s="1133">
        <v>1.7554119999999999E-2</v>
      </c>
      <c r="L5" s="1134">
        <v>1.0699999999999999E-6</v>
      </c>
      <c r="M5" s="1208">
        <v>0.2</v>
      </c>
      <c r="N5" s="900">
        <v>320476.78581328999</v>
      </c>
      <c r="O5" s="281"/>
      <c r="P5" s="900"/>
      <c r="R5" s="1622">
        <f>(R2-R3)/100</f>
        <v>9.1788778999999998</v>
      </c>
    </row>
    <row r="6" spans="1:18" ht="13.75" customHeight="1" x14ac:dyDescent="0.15">
      <c r="A6" s="283"/>
      <c r="B6" s="1208">
        <v>0.3</v>
      </c>
      <c r="C6" s="724">
        <f t="shared" ref="C6:C69" si="0">C5+9.1788779</f>
        <v>1378.0798437000003</v>
      </c>
      <c r="D6" s="447">
        <v>3.043912E-2</v>
      </c>
      <c r="E6" s="846">
        <v>0.63051332999999998</v>
      </c>
      <c r="F6" s="536">
        <v>319167.43428450997</v>
      </c>
      <c r="G6" s="737">
        <v>3.9088100000000001E-2</v>
      </c>
      <c r="H6" s="516">
        <v>7.9823513000000004</v>
      </c>
      <c r="I6" s="497">
        <v>0.7933289</v>
      </c>
      <c r="J6" s="529">
        <v>3.3111399999999999E-2</v>
      </c>
      <c r="K6" s="1133">
        <v>1.7588599999999999E-2</v>
      </c>
      <c r="L6" s="522">
        <v>1.0899999999999999E-6</v>
      </c>
      <c r="M6" s="1208">
        <v>0.3</v>
      </c>
      <c r="N6" s="900">
        <v>320729.17301973997</v>
      </c>
      <c r="O6" s="281"/>
      <c r="P6" s="900"/>
      <c r="R6" s="1622"/>
    </row>
    <row r="7" spans="1:18" ht="14" customHeight="1" x14ac:dyDescent="0.15">
      <c r="A7" s="283"/>
      <c r="B7" s="1208">
        <v>0.4</v>
      </c>
      <c r="C7" s="724">
        <f t="shared" si="0"/>
        <v>1387.2587216000004</v>
      </c>
      <c r="D7" s="447">
        <v>3.2270159999999999E-2</v>
      </c>
      <c r="E7" s="846">
        <v>0.75115343999999995</v>
      </c>
      <c r="F7" s="536">
        <v>319412.16861067998</v>
      </c>
      <c r="G7" s="737">
        <v>4.716646E-2</v>
      </c>
      <c r="H7" s="516">
        <v>8.1134407999999993</v>
      </c>
      <c r="I7" s="497">
        <v>0.80067359999999999</v>
      </c>
      <c r="J7" s="529">
        <v>3.3275600000000002E-2</v>
      </c>
      <c r="K7" s="1133">
        <v>1.7623079999999999E-2</v>
      </c>
      <c r="L7" s="1134">
        <v>1.11E-6</v>
      </c>
      <c r="M7" s="1208">
        <v>0.4</v>
      </c>
      <c r="N7" s="900">
        <v>320981.56022619997</v>
      </c>
      <c r="O7" s="281"/>
      <c r="P7" s="900"/>
      <c r="R7" s="1622"/>
    </row>
    <row r="8" spans="1:18" ht="13.75" customHeight="1" x14ac:dyDescent="0.15">
      <c r="A8" s="283"/>
      <c r="B8" s="1208">
        <v>0.5</v>
      </c>
      <c r="C8" s="724">
        <f t="shared" si="0"/>
        <v>1396.4375995000005</v>
      </c>
      <c r="D8" s="447">
        <v>3.4101199999999998E-2</v>
      </c>
      <c r="E8" s="846">
        <v>0.87179355000000003</v>
      </c>
      <c r="F8" s="536">
        <v>319656.90293684998</v>
      </c>
      <c r="G8" s="737">
        <v>5.5244830000000002E-2</v>
      </c>
      <c r="H8" s="516">
        <v>8.2445302999999992</v>
      </c>
      <c r="I8" s="497">
        <v>0.80801829999999997</v>
      </c>
      <c r="J8" s="529">
        <v>3.3439900000000002E-2</v>
      </c>
      <c r="K8" s="1133">
        <v>1.7657559999999999E-2</v>
      </c>
      <c r="L8" s="522">
        <v>1.13E-6</v>
      </c>
      <c r="M8" s="1208">
        <v>0.5</v>
      </c>
      <c r="N8" s="900">
        <v>321233.94743265002</v>
      </c>
      <c r="O8" s="281"/>
      <c r="P8" s="281"/>
      <c r="R8" s="1622"/>
    </row>
    <row r="9" spans="1:18" ht="14" customHeight="1" x14ac:dyDescent="0.15">
      <c r="A9" s="283"/>
      <c r="B9" s="1208">
        <v>0.6</v>
      </c>
      <c r="C9" s="724">
        <f t="shared" si="0"/>
        <v>1405.6164774000006</v>
      </c>
      <c r="D9" s="447">
        <v>3.5932239999999997E-2</v>
      </c>
      <c r="E9" s="846">
        <v>0.99243366</v>
      </c>
      <c r="F9" s="536">
        <v>319901.63726301998</v>
      </c>
      <c r="G9" s="737">
        <v>6.3323190000000001E-2</v>
      </c>
      <c r="H9" s="516">
        <v>8.3756198000000008</v>
      </c>
      <c r="I9" s="497">
        <v>0.81536299999999995</v>
      </c>
      <c r="J9" s="529">
        <v>3.3604200000000001E-2</v>
      </c>
      <c r="K9" s="1133">
        <v>1.7692050000000001E-2</v>
      </c>
      <c r="L9" s="1134">
        <v>1.15E-6</v>
      </c>
      <c r="M9" s="1208">
        <v>0.6</v>
      </c>
      <c r="N9" s="900">
        <v>321486.33463911002</v>
      </c>
      <c r="O9" s="281"/>
      <c r="P9" s="900"/>
      <c r="R9" s="1622"/>
    </row>
    <row r="10" spans="1:18" ht="13.75" customHeight="1" x14ac:dyDescent="0.15">
      <c r="A10" s="283"/>
      <c r="B10" s="1208">
        <v>0.7</v>
      </c>
      <c r="C10" s="724">
        <f t="shared" si="0"/>
        <v>1414.7953553000007</v>
      </c>
      <c r="D10" s="447">
        <v>3.7763280000000003E-2</v>
      </c>
      <c r="E10" s="846">
        <v>1.11307377</v>
      </c>
      <c r="F10" s="536">
        <v>320146.37158918998</v>
      </c>
      <c r="G10" s="737">
        <v>7.1401560000000003E-2</v>
      </c>
      <c r="H10" s="516">
        <v>8.5067093000000007</v>
      </c>
      <c r="I10" s="497">
        <v>0.82270770000000004</v>
      </c>
      <c r="J10" s="529">
        <v>3.37685E-2</v>
      </c>
      <c r="K10" s="1133">
        <v>1.7726530000000001E-2</v>
      </c>
      <c r="L10" s="522">
        <v>1.1799999999999999E-6</v>
      </c>
      <c r="M10" s="1208">
        <v>0.7</v>
      </c>
      <c r="N10" s="900">
        <v>321738.72184557002</v>
      </c>
      <c r="O10" s="281"/>
      <c r="P10" s="281"/>
      <c r="R10" s="1622"/>
    </row>
    <row r="11" spans="1:18" ht="14" customHeight="1" x14ac:dyDescent="0.15">
      <c r="A11" s="283"/>
      <c r="B11" s="1208">
        <v>0.8</v>
      </c>
      <c r="C11" s="724">
        <f t="shared" si="0"/>
        <v>1423.9742332000008</v>
      </c>
      <c r="D11" s="447">
        <v>3.9594320000000002E-2</v>
      </c>
      <c r="E11" s="846">
        <v>1.23371388</v>
      </c>
      <c r="F11" s="536">
        <v>320391.10591535998</v>
      </c>
      <c r="G11" s="737">
        <v>7.9479919999999996E-2</v>
      </c>
      <c r="H11" s="516">
        <v>8.6377988000000006</v>
      </c>
      <c r="I11" s="497">
        <v>0.83005240000000002</v>
      </c>
      <c r="J11" s="529">
        <v>3.3932799999999999E-2</v>
      </c>
      <c r="K11" s="1133">
        <v>1.7761010000000001E-2</v>
      </c>
      <c r="L11" s="1134">
        <v>1.1999999999999999E-6</v>
      </c>
      <c r="M11" s="1208">
        <v>0.8</v>
      </c>
      <c r="N11" s="900">
        <v>321991.10905202001</v>
      </c>
      <c r="O11" s="281"/>
      <c r="P11" s="281"/>
      <c r="R11" s="1622"/>
    </row>
    <row r="12" spans="1:18" ht="13.75" customHeight="1" x14ac:dyDescent="0.15">
      <c r="A12" s="283"/>
      <c r="B12" s="1208">
        <v>0.9</v>
      </c>
      <c r="C12" s="724">
        <f t="shared" si="0"/>
        <v>1433.1531111000008</v>
      </c>
      <c r="D12" s="447">
        <v>4.1425360000000001E-2</v>
      </c>
      <c r="E12" s="846">
        <v>1.3543539899999999</v>
      </c>
      <c r="F12" s="536">
        <v>320635.84024152998</v>
      </c>
      <c r="G12" s="737">
        <v>8.7558289999999997E-2</v>
      </c>
      <c r="H12" s="516">
        <v>8.7688883000000004</v>
      </c>
      <c r="I12" s="497">
        <v>0.83739699999999995</v>
      </c>
      <c r="J12" s="529">
        <v>3.4097099999999998E-2</v>
      </c>
      <c r="K12" s="1133">
        <v>1.7795490000000001E-2</v>
      </c>
      <c r="L12" s="522">
        <v>1.22E-6</v>
      </c>
      <c r="M12" s="1208">
        <v>0.9</v>
      </c>
      <c r="N12" s="900">
        <v>322243.49625848001</v>
      </c>
      <c r="O12" s="281"/>
      <c r="P12" s="281"/>
      <c r="R12" s="1622"/>
    </row>
    <row r="13" spans="1:18" ht="15" customHeight="1" x14ac:dyDescent="0.15">
      <c r="A13" s="283"/>
      <c r="B13" s="1199">
        <v>1</v>
      </c>
      <c r="C13" s="724">
        <f t="shared" si="0"/>
        <v>1442.3319890000009</v>
      </c>
      <c r="D13" s="1201">
        <v>4.32564E-2</v>
      </c>
      <c r="E13" s="1259">
        <v>1.4749941</v>
      </c>
      <c r="F13" s="1202">
        <v>320880.57456769998</v>
      </c>
      <c r="G13" s="1203">
        <v>9.5636650000000004E-2</v>
      </c>
      <c r="H13" s="1204">
        <v>8.8999778000000003</v>
      </c>
      <c r="I13" s="1260">
        <v>0.84474170000000004</v>
      </c>
      <c r="J13" s="1205">
        <v>3.4261300000000001E-2</v>
      </c>
      <c r="K13" s="1261">
        <v>1.7829979999999999E-2</v>
      </c>
      <c r="L13" s="1262">
        <v>1.24E-6</v>
      </c>
      <c r="M13" s="1199">
        <v>1</v>
      </c>
      <c r="N13" s="900">
        <v>322495.88346493</v>
      </c>
      <c r="O13" s="281"/>
      <c r="P13" s="281"/>
      <c r="R13" s="1622"/>
    </row>
    <row r="14" spans="1:18" ht="13.75" customHeight="1" x14ac:dyDescent="0.15">
      <c r="A14" s="283"/>
      <c r="B14" s="1208">
        <v>1.1000000000000001</v>
      </c>
      <c r="C14" s="724">
        <f t="shared" si="0"/>
        <v>1451.510866900001</v>
      </c>
      <c r="D14" s="447">
        <v>4.5087439999999999E-2</v>
      </c>
      <c r="E14" s="846">
        <v>1.5956342100000001</v>
      </c>
      <c r="F14" s="536">
        <v>321125.30889386998</v>
      </c>
      <c r="G14" s="737">
        <v>0.10371502</v>
      </c>
      <c r="H14" s="516">
        <v>9.0310673000000001</v>
      </c>
      <c r="I14" s="497">
        <v>0.85208640000000002</v>
      </c>
      <c r="J14" s="529">
        <v>3.4425600000000001E-2</v>
      </c>
      <c r="K14" s="1133">
        <v>1.7864459999999999E-2</v>
      </c>
      <c r="L14" s="522">
        <v>1.26E-6</v>
      </c>
      <c r="M14" s="1208">
        <v>1.1000000000000001</v>
      </c>
      <c r="N14" s="900">
        <v>322748.27067139</v>
      </c>
      <c r="O14" s="281"/>
      <c r="P14" s="281"/>
      <c r="R14" s="1622"/>
    </row>
    <row r="15" spans="1:18" ht="14" customHeight="1" x14ac:dyDescent="0.15">
      <c r="A15" s="283"/>
      <c r="B15" s="1208">
        <v>1.2</v>
      </c>
      <c r="C15" s="724">
        <f t="shared" si="0"/>
        <v>1460.6897448000011</v>
      </c>
      <c r="D15" s="447">
        <v>4.6918479999999999E-2</v>
      </c>
      <c r="E15" s="846">
        <v>1.7162743199999999</v>
      </c>
      <c r="F15" s="536">
        <v>321370.04322003998</v>
      </c>
      <c r="G15" s="737">
        <v>0.11179338</v>
      </c>
      <c r="H15" s="516">
        <v>9.1621568</v>
      </c>
      <c r="I15" s="497">
        <v>0.8594311</v>
      </c>
      <c r="J15" s="529">
        <v>3.45899E-2</v>
      </c>
      <c r="K15" s="1133">
        <v>1.7898939999999999E-2</v>
      </c>
      <c r="L15" s="1134">
        <v>1.2899999999999999E-6</v>
      </c>
      <c r="M15" s="1208">
        <v>1.2</v>
      </c>
      <c r="N15" s="900">
        <v>323000.65787785</v>
      </c>
      <c r="O15" s="281"/>
      <c r="P15" s="281"/>
      <c r="R15" s="1622"/>
    </row>
    <row r="16" spans="1:18" ht="13.75" customHeight="1" x14ac:dyDescent="0.15">
      <c r="A16" s="283"/>
      <c r="B16" s="1208">
        <v>1.3</v>
      </c>
      <c r="C16" s="724">
        <f t="shared" si="0"/>
        <v>1469.8686227000012</v>
      </c>
      <c r="D16" s="447">
        <v>4.8749519999999998E-2</v>
      </c>
      <c r="E16" s="846">
        <v>1.83691443</v>
      </c>
      <c r="F16" s="536">
        <v>321614.77754620998</v>
      </c>
      <c r="G16" s="737">
        <v>0.11987175</v>
      </c>
      <c r="H16" s="516">
        <v>9.2932462999999998</v>
      </c>
      <c r="I16" s="497">
        <v>0.86677579999999999</v>
      </c>
      <c r="J16" s="529">
        <v>3.4754199999999999E-2</v>
      </c>
      <c r="K16" s="1133">
        <v>1.7933419999999999E-2</v>
      </c>
      <c r="L16" s="522">
        <v>1.31E-6</v>
      </c>
      <c r="M16" s="1208">
        <v>1.3</v>
      </c>
      <c r="N16" s="900">
        <v>323253.04508429999</v>
      </c>
      <c r="O16" s="281"/>
      <c r="P16" s="281"/>
      <c r="R16" s="1622"/>
    </row>
    <row r="17" spans="1:18" ht="14" customHeight="1" x14ac:dyDescent="0.15">
      <c r="A17" s="283"/>
      <c r="B17" s="1208">
        <v>1.4</v>
      </c>
      <c r="C17" s="724">
        <f t="shared" si="0"/>
        <v>1479.0475006000013</v>
      </c>
      <c r="D17" s="447">
        <v>5.0580559999999997E-2</v>
      </c>
      <c r="E17" s="846">
        <v>1.9575545400000001</v>
      </c>
      <c r="F17" s="536">
        <v>321859.51187237998</v>
      </c>
      <c r="G17" s="737">
        <v>0.12795011000000001</v>
      </c>
      <c r="H17" s="516">
        <v>9.4243357999999997</v>
      </c>
      <c r="I17" s="497">
        <v>0.87412049999999997</v>
      </c>
      <c r="J17" s="529">
        <v>3.4918499999999998E-2</v>
      </c>
      <c r="K17" s="1133">
        <v>1.796791E-2</v>
      </c>
      <c r="L17" s="1134">
        <v>1.33E-6</v>
      </c>
      <c r="M17" s="1208">
        <v>1.4</v>
      </c>
      <c r="N17" s="900">
        <v>323505.43229075999</v>
      </c>
      <c r="O17" s="281"/>
      <c r="P17" s="281"/>
      <c r="R17" s="1622"/>
    </row>
    <row r="18" spans="1:18" ht="13.75" customHeight="1" x14ac:dyDescent="0.15">
      <c r="A18" s="283"/>
      <c r="B18" s="1208">
        <v>1.5</v>
      </c>
      <c r="C18" s="724">
        <f t="shared" si="0"/>
        <v>1488.2263785000014</v>
      </c>
      <c r="D18" s="447">
        <v>5.2411600000000003E-2</v>
      </c>
      <c r="E18" s="846">
        <v>2.0781946499999999</v>
      </c>
      <c r="F18" s="536">
        <v>322104.24619854998</v>
      </c>
      <c r="G18" s="737">
        <v>0.13602848000000001</v>
      </c>
      <c r="H18" s="516">
        <v>9.5554252999999996</v>
      </c>
      <c r="I18" s="497">
        <v>0.8814651</v>
      </c>
      <c r="J18" s="529">
        <v>3.5082799999999997E-2</v>
      </c>
      <c r="K18" s="1133">
        <v>1.800239E-2</v>
      </c>
      <c r="L18" s="522">
        <v>1.35E-6</v>
      </c>
      <c r="M18" s="1208">
        <v>1.5</v>
      </c>
      <c r="N18" s="900">
        <v>323757.81949720997</v>
      </c>
      <c r="O18" s="281"/>
      <c r="P18" s="281"/>
      <c r="R18" s="1622"/>
    </row>
    <row r="19" spans="1:18" ht="14" customHeight="1" x14ac:dyDescent="0.15">
      <c r="A19" s="283"/>
      <c r="B19" s="1208">
        <v>1.6</v>
      </c>
      <c r="C19" s="724">
        <f t="shared" si="0"/>
        <v>1497.4052564000015</v>
      </c>
      <c r="D19" s="447">
        <v>5.4242640000000002E-2</v>
      </c>
      <c r="E19" s="846">
        <v>2.19883476</v>
      </c>
      <c r="F19" s="536">
        <v>322348.98052471998</v>
      </c>
      <c r="G19" s="737">
        <v>0.14410684000000001</v>
      </c>
      <c r="H19" s="516">
        <v>9.6865147999999994</v>
      </c>
      <c r="I19" s="497">
        <v>0.88880979999999998</v>
      </c>
      <c r="J19" s="529">
        <v>3.5247000000000001E-2</v>
      </c>
      <c r="K19" s="1133">
        <v>1.803687E-2</v>
      </c>
      <c r="L19" s="1134">
        <v>1.37E-6</v>
      </c>
      <c r="M19" s="1208">
        <v>1.6</v>
      </c>
      <c r="N19" s="900">
        <v>324010.20670366997</v>
      </c>
      <c r="O19" s="281"/>
      <c r="P19" s="281"/>
      <c r="R19" s="1622"/>
    </row>
    <row r="20" spans="1:18" ht="13.75" customHeight="1" x14ac:dyDescent="0.15">
      <c r="A20" s="283"/>
      <c r="B20" s="1208">
        <v>1.7</v>
      </c>
      <c r="C20" s="724">
        <f t="shared" si="0"/>
        <v>1506.5841343000016</v>
      </c>
      <c r="D20" s="447">
        <v>5.6073680000000001E-2</v>
      </c>
      <c r="E20" s="846">
        <v>2.3194748700000001</v>
      </c>
      <c r="F20" s="536">
        <v>322593.71485088998</v>
      </c>
      <c r="G20" s="737">
        <v>0.15218520999999999</v>
      </c>
      <c r="H20" s="516">
        <v>9.8176042999999993</v>
      </c>
      <c r="I20" s="497">
        <v>0.89615449999999996</v>
      </c>
      <c r="J20" s="529">
        <v>3.54113E-2</v>
      </c>
      <c r="K20" s="1133">
        <v>1.807135E-2</v>
      </c>
      <c r="L20" s="522">
        <v>1.39E-6</v>
      </c>
      <c r="M20" s="1208">
        <v>1.7</v>
      </c>
      <c r="N20" s="900">
        <v>324262.59391012997</v>
      </c>
      <c r="O20" s="281"/>
      <c r="P20" s="281"/>
      <c r="R20" s="1622"/>
    </row>
    <row r="21" spans="1:18" ht="14" customHeight="1" x14ac:dyDescent="0.15">
      <c r="A21" s="283"/>
      <c r="B21" s="1208">
        <v>1.8</v>
      </c>
      <c r="C21" s="724">
        <f t="shared" si="0"/>
        <v>1515.7630122000016</v>
      </c>
      <c r="D21" s="447">
        <v>5.790472E-2</v>
      </c>
      <c r="E21" s="846">
        <v>2.4401149800000002</v>
      </c>
      <c r="F21" s="536">
        <v>322838.44917705999</v>
      </c>
      <c r="G21" s="737">
        <v>0.16026356999999999</v>
      </c>
      <c r="H21" s="516">
        <v>9.9486937999999991</v>
      </c>
      <c r="I21" s="497">
        <v>0.90349919999999995</v>
      </c>
      <c r="J21" s="529">
        <v>3.5575599999999999E-2</v>
      </c>
      <c r="K21" s="1133">
        <v>1.8105840000000002E-2</v>
      </c>
      <c r="L21" s="1134">
        <v>1.42E-6</v>
      </c>
      <c r="M21" s="1208">
        <v>1.8</v>
      </c>
      <c r="N21" s="900">
        <v>324514.98111658002</v>
      </c>
      <c r="O21" s="281"/>
      <c r="P21" s="281"/>
      <c r="R21" s="1622"/>
    </row>
    <row r="22" spans="1:18" ht="13.75" customHeight="1" x14ac:dyDescent="0.15">
      <c r="A22" s="283"/>
      <c r="B22" s="1208">
        <v>1.9</v>
      </c>
      <c r="C22" s="724">
        <f t="shared" si="0"/>
        <v>1524.9418901000017</v>
      </c>
      <c r="D22" s="447">
        <v>5.9735759999999999E-2</v>
      </c>
      <c r="E22" s="846">
        <v>2.5607550899999998</v>
      </c>
      <c r="F22" s="536">
        <v>323083.18350322999</v>
      </c>
      <c r="G22" s="737">
        <v>0.16834194</v>
      </c>
      <c r="H22" s="516">
        <v>10.079783300000001</v>
      </c>
      <c r="I22" s="497">
        <v>0.91084390000000004</v>
      </c>
      <c r="J22" s="529">
        <v>3.5739899999999998E-2</v>
      </c>
      <c r="K22" s="1133">
        <v>1.8140320000000001E-2</v>
      </c>
      <c r="L22" s="522">
        <v>1.44E-6</v>
      </c>
      <c r="M22" s="1208">
        <v>1.9</v>
      </c>
      <c r="N22" s="900">
        <v>324767.36832304002</v>
      </c>
      <c r="O22" s="281"/>
      <c r="P22" s="281"/>
      <c r="R22" s="1622"/>
    </row>
    <row r="23" spans="1:18" ht="15" customHeight="1" x14ac:dyDescent="0.15">
      <c r="A23" s="283"/>
      <c r="B23" s="1199">
        <v>2</v>
      </c>
      <c r="C23" s="724">
        <f t="shared" si="0"/>
        <v>1534.1207680000018</v>
      </c>
      <c r="D23" s="1201">
        <v>6.1566799999999998E-2</v>
      </c>
      <c r="E23" s="1259">
        <v>2.6813951999999999</v>
      </c>
      <c r="F23" s="1202">
        <v>323327.91782939999</v>
      </c>
      <c r="G23" s="1203">
        <v>0.1764203</v>
      </c>
      <c r="H23" s="1204">
        <v>10.210872800000001</v>
      </c>
      <c r="I23" s="1260">
        <v>0.91818860000000002</v>
      </c>
      <c r="J23" s="1205">
        <v>3.5904199999999997E-2</v>
      </c>
      <c r="K23" s="1261">
        <v>1.8174800000000001E-2</v>
      </c>
      <c r="L23" s="1262">
        <v>1.46E-6</v>
      </c>
      <c r="M23" s="1199">
        <v>2</v>
      </c>
      <c r="N23" s="900">
        <v>325019.75552949001</v>
      </c>
      <c r="O23" s="281"/>
      <c r="P23" s="281"/>
      <c r="R23" s="1622"/>
    </row>
    <row r="24" spans="1:18" ht="13.75" customHeight="1" x14ac:dyDescent="0.15">
      <c r="A24" s="283"/>
      <c r="B24" s="1208">
        <v>2.1</v>
      </c>
      <c r="C24" s="724">
        <f t="shared" si="0"/>
        <v>1543.2996459000019</v>
      </c>
      <c r="D24" s="447">
        <v>6.3397839999999997E-2</v>
      </c>
      <c r="E24" s="846">
        <v>2.8020353099999999</v>
      </c>
      <c r="F24" s="536">
        <v>323572.65215556999</v>
      </c>
      <c r="G24" s="737">
        <v>0.18449867</v>
      </c>
      <c r="H24" s="516">
        <v>10.3419623</v>
      </c>
      <c r="I24" s="497">
        <v>0.92553319999999994</v>
      </c>
      <c r="J24" s="529">
        <v>3.6068500000000003E-2</v>
      </c>
      <c r="K24" s="1133">
        <v>1.8209280000000001E-2</v>
      </c>
      <c r="L24" s="522">
        <v>1.48E-6</v>
      </c>
      <c r="M24" s="1208">
        <v>2.1</v>
      </c>
      <c r="N24" s="900">
        <v>325272.14273595001</v>
      </c>
      <c r="O24" s="281"/>
      <c r="P24" s="281"/>
      <c r="R24" s="1622"/>
    </row>
    <row r="25" spans="1:18" ht="14" customHeight="1" x14ac:dyDescent="0.15">
      <c r="A25" s="283"/>
      <c r="B25" s="1208">
        <v>2.2000000000000002</v>
      </c>
      <c r="C25" s="724">
        <f t="shared" si="0"/>
        <v>1552.478523800002</v>
      </c>
      <c r="D25" s="447">
        <v>6.5228880000000003E-2</v>
      </c>
      <c r="E25" s="846">
        <v>2.92267542</v>
      </c>
      <c r="F25" s="536">
        <v>323817.38648173999</v>
      </c>
      <c r="G25" s="737">
        <v>0.19257703000000001</v>
      </c>
      <c r="H25" s="516">
        <v>10.4730518</v>
      </c>
      <c r="I25" s="497">
        <v>0.93287790000000004</v>
      </c>
      <c r="J25" s="529">
        <v>3.62327E-2</v>
      </c>
      <c r="K25" s="1133">
        <v>1.8243769999999999E-2</v>
      </c>
      <c r="L25" s="1134">
        <v>1.5E-6</v>
      </c>
      <c r="M25" s="1208">
        <v>2.2000000000000002</v>
      </c>
      <c r="N25" s="900">
        <v>325524.52994241001</v>
      </c>
      <c r="O25" s="281"/>
      <c r="P25" s="281"/>
      <c r="R25" s="1622"/>
    </row>
    <row r="26" spans="1:18" ht="13.75" customHeight="1" x14ac:dyDescent="0.15">
      <c r="A26" s="283"/>
      <c r="B26" s="1208">
        <v>2.2999999999999998</v>
      </c>
      <c r="C26" s="724">
        <f t="shared" si="0"/>
        <v>1561.6574017000021</v>
      </c>
      <c r="D26" s="447">
        <v>6.7059919999999995E-2</v>
      </c>
      <c r="E26" s="846">
        <v>3.0433155300000001</v>
      </c>
      <c r="F26" s="536">
        <v>324062.12080790999</v>
      </c>
      <c r="G26" s="737">
        <v>0.20065540000000001</v>
      </c>
      <c r="H26" s="516">
        <v>10.6041413</v>
      </c>
      <c r="I26" s="497">
        <v>0.94022260000000002</v>
      </c>
      <c r="J26" s="529">
        <v>3.6396999999999999E-2</v>
      </c>
      <c r="K26" s="1133">
        <v>1.8278249999999999E-2</v>
      </c>
      <c r="L26" s="522">
        <v>1.5200000000000001E-6</v>
      </c>
      <c r="M26" s="1208">
        <v>2.2999999999999998</v>
      </c>
      <c r="N26" s="900">
        <v>325776.91714886</v>
      </c>
      <c r="O26" s="281"/>
      <c r="P26" s="281"/>
      <c r="R26" s="1622"/>
    </row>
    <row r="27" spans="1:18" ht="14" customHeight="1" x14ac:dyDescent="0.15">
      <c r="A27" s="283"/>
      <c r="B27" s="1208">
        <v>2.4</v>
      </c>
      <c r="C27" s="724">
        <f t="shared" si="0"/>
        <v>1570.8362796000022</v>
      </c>
      <c r="D27" s="447">
        <v>6.8890960000000001E-2</v>
      </c>
      <c r="E27" s="846">
        <v>3.1639556400000002</v>
      </c>
      <c r="F27" s="536">
        <v>324306.85513407999</v>
      </c>
      <c r="G27" s="737">
        <v>0.20873375999999999</v>
      </c>
      <c r="H27" s="516">
        <v>10.7352308</v>
      </c>
      <c r="I27" s="497">
        <v>0.9475673</v>
      </c>
      <c r="J27" s="529">
        <v>3.6561299999999998E-2</v>
      </c>
      <c r="K27" s="1133">
        <v>1.8312729999999999E-2</v>
      </c>
      <c r="L27" s="1134">
        <v>1.55E-6</v>
      </c>
      <c r="M27" s="1208">
        <v>2.4</v>
      </c>
      <c r="N27" s="900">
        <v>326029.30435532</v>
      </c>
      <c r="O27" s="281"/>
      <c r="P27" s="281"/>
      <c r="R27" s="1622"/>
    </row>
    <row r="28" spans="1:18" ht="13.75" customHeight="1" x14ac:dyDescent="0.15">
      <c r="A28" s="283"/>
      <c r="B28" s="1208">
        <v>2.5</v>
      </c>
      <c r="C28" s="724">
        <f t="shared" si="0"/>
        <v>1580.0151575000023</v>
      </c>
      <c r="D28" s="447">
        <v>7.0721999999999993E-2</v>
      </c>
      <c r="E28" s="846">
        <v>3.2845957499999998</v>
      </c>
      <c r="F28" s="536">
        <v>324551.58946024999</v>
      </c>
      <c r="G28" s="737">
        <v>0.21681212999999999</v>
      </c>
      <c r="H28" s="516">
        <v>10.8663203</v>
      </c>
      <c r="I28" s="497">
        <v>0.95491199999999998</v>
      </c>
      <c r="J28" s="529">
        <v>3.6725599999999997E-2</v>
      </c>
      <c r="K28" s="1133">
        <v>1.8347209999999999E-2</v>
      </c>
      <c r="L28" s="522">
        <v>1.57E-6</v>
      </c>
      <c r="M28" s="1208">
        <v>2.5</v>
      </c>
      <c r="N28" s="900">
        <v>326281.69156176999</v>
      </c>
      <c r="O28" s="281"/>
      <c r="P28" s="281"/>
      <c r="R28" s="1622"/>
    </row>
    <row r="29" spans="1:18" ht="14" customHeight="1" x14ac:dyDescent="0.15">
      <c r="A29" s="283"/>
      <c r="B29" s="1208">
        <v>2.6</v>
      </c>
      <c r="C29" s="724">
        <f t="shared" si="0"/>
        <v>1589.1940354000023</v>
      </c>
      <c r="D29" s="447">
        <v>7.2553039999999999E-2</v>
      </c>
      <c r="E29" s="846">
        <v>3.4052358599999999</v>
      </c>
      <c r="F29" s="536">
        <v>324796.32378641999</v>
      </c>
      <c r="G29" s="737">
        <v>0.22489049</v>
      </c>
      <c r="H29" s="516">
        <v>10.9974098</v>
      </c>
      <c r="I29" s="497">
        <v>0.96225669999999996</v>
      </c>
      <c r="J29" s="529">
        <v>3.6889900000000003E-2</v>
      </c>
      <c r="K29" s="1133">
        <v>1.8381700000000001E-2</v>
      </c>
      <c r="L29" s="1134">
        <v>1.59E-6</v>
      </c>
      <c r="M29" s="1208">
        <v>2.6</v>
      </c>
      <c r="N29" s="900">
        <v>326534.07876822999</v>
      </c>
      <c r="O29" s="281"/>
      <c r="P29" s="281"/>
      <c r="R29" s="1622"/>
    </row>
    <row r="30" spans="1:18" ht="13.75" customHeight="1" x14ac:dyDescent="0.15">
      <c r="A30" s="283"/>
      <c r="B30" s="1208">
        <v>2.7</v>
      </c>
      <c r="C30" s="724">
        <f t="shared" si="0"/>
        <v>1598.3729133000024</v>
      </c>
      <c r="D30" s="447">
        <v>7.4384080000000005E-2</v>
      </c>
      <c r="E30" s="846">
        <v>3.52587597</v>
      </c>
      <c r="F30" s="536">
        <v>325041.05811258999</v>
      </c>
      <c r="G30" s="737">
        <v>0.23296886</v>
      </c>
      <c r="H30" s="516">
        <v>11.1284993</v>
      </c>
      <c r="I30" s="497">
        <v>0.9696013</v>
      </c>
      <c r="J30" s="529">
        <v>3.7054200000000002E-2</v>
      </c>
      <c r="K30" s="1133">
        <v>1.8416180000000001E-2</v>
      </c>
      <c r="L30" s="522">
        <v>1.61E-6</v>
      </c>
      <c r="M30" s="1208">
        <v>2.7</v>
      </c>
      <c r="N30" s="900">
        <v>326786.46597468999</v>
      </c>
      <c r="O30" s="281"/>
      <c r="P30" s="281"/>
      <c r="R30" s="1622"/>
    </row>
    <row r="31" spans="1:18" ht="14" customHeight="1" x14ac:dyDescent="0.15">
      <c r="A31" s="283"/>
      <c r="B31" s="1208">
        <v>2.8</v>
      </c>
      <c r="C31" s="724">
        <f t="shared" si="0"/>
        <v>1607.5517912000025</v>
      </c>
      <c r="D31" s="447">
        <v>7.6215119999999997E-2</v>
      </c>
      <c r="E31" s="846">
        <v>3.64651608</v>
      </c>
      <c r="F31" s="536">
        <v>325285.79243875999</v>
      </c>
      <c r="G31" s="737">
        <v>0.24104722000000001</v>
      </c>
      <c r="H31" s="516">
        <v>11.2595888</v>
      </c>
      <c r="I31" s="497">
        <v>0.97694599999999998</v>
      </c>
      <c r="J31" s="529">
        <v>3.7218500000000002E-2</v>
      </c>
      <c r="K31" s="1133">
        <v>1.8450660000000001E-2</v>
      </c>
      <c r="L31" s="1134">
        <v>1.6300000000000001E-6</v>
      </c>
      <c r="M31" s="1208">
        <v>2.8</v>
      </c>
      <c r="N31" s="900">
        <v>327038.85318113997</v>
      </c>
      <c r="O31" s="281"/>
      <c r="P31" s="281"/>
      <c r="R31" s="1622"/>
    </row>
    <row r="32" spans="1:18" ht="13.75" customHeight="1" x14ac:dyDescent="0.15">
      <c r="A32" s="283"/>
      <c r="B32" s="1208">
        <v>2.9</v>
      </c>
      <c r="C32" s="724">
        <f t="shared" si="0"/>
        <v>1616.7306691000026</v>
      </c>
      <c r="D32" s="447">
        <v>7.8046160000000003E-2</v>
      </c>
      <c r="E32" s="846">
        <v>3.7671561900000001</v>
      </c>
      <c r="F32" s="536">
        <v>325530.52676492999</v>
      </c>
      <c r="G32" s="737">
        <v>0.24912559000000001</v>
      </c>
      <c r="H32" s="516">
        <v>11.390678299999999</v>
      </c>
      <c r="I32" s="497">
        <v>0.98429069999999996</v>
      </c>
      <c r="J32" s="529">
        <v>3.7382699999999998E-2</v>
      </c>
      <c r="K32" s="1133">
        <v>1.8485140000000001E-2</v>
      </c>
      <c r="L32" s="522">
        <v>1.66E-6</v>
      </c>
      <c r="M32" s="1208">
        <v>2.9</v>
      </c>
      <c r="N32" s="900">
        <v>327291.24038759997</v>
      </c>
      <c r="O32" s="281"/>
      <c r="P32" s="281"/>
      <c r="R32" s="1622"/>
    </row>
    <row r="33" spans="1:16" ht="15" customHeight="1" x14ac:dyDescent="0.15">
      <c r="A33" s="283"/>
      <c r="B33" s="1199">
        <v>3</v>
      </c>
      <c r="C33" s="724">
        <f t="shared" si="0"/>
        <v>1625.9095470000027</v>
      </c>
      <c r="D33" s="1201">
        <v>7.9877199999999995E-2</v>
      </c>
      <c r="E33" s="1259">
        <v>3.8877963000000002</v>
      </c>
      <c r="F33" s="1202">
        <v>325775.26109109999</v>
      </c>
      <c r="G33" s="1203">
        <v>0.25720395000000001</v>
      </c>
      <c r="H33" s="1204">
        <v>11.521767799999999</v>
      </c>
      <c r="I33" s="1260">
        <v>0.99163539999999994</v>
      </c>
      <c r="J33" s="1205">
        <v>3.7546999999999997E-2</v>
      </c>
      <c r="K33" s="1261">
        <v>1.8519629999999999E-2</v>
      </c>
      <c r="L33" s="1262">
        <v>1.68E-6</v>
      </c>
      <c r="M33" s="1199">
        <v>3</v>
      </c>
      <c r="N33" s="900">
        <v>327543.62759405002</v>
      </c>
      <c r="O33" s="281"/>
      <c r="P33" s="281"/>
    </row>
    <row r="34" spans="1:16" ht="13.75" customHeight="1" x14ac:dyDescent="0.15">
      <c r="A34" s="283"/>
      <c r="B34" s="1208">
        <v>3.1</v>
      </c>
      <c r="C34" s="724">
        <f t="shared" si="0"/>
        <v>1635.0884249000028</v>
      </c>
      <c r="D34" s="447">
        <v>8.1708240000000001E-2</v>
      </c>
      <c r="E34" s="846">
        <v>4.0084364099999998</v>
      </c>
      <c r="F34" s="536">
        <v>326019.99541726999</v>
      </c>
      <c r="G34" s="737">
        <v>0.26528232000000002</v>
      </c>
      <c r="H34" s="516">
        <v>11.652857300000001</v>
      </c>
      <c r="I34" s="497">
        <v>0.99898010000000004</v>
      </c>
      <c r="J34" s="529">
        <v>3.7711300000000003E-2</v>
      </c>
      <c r="K34" s="1133">
        <v>1.8554109999999999E-2</v>
      </c>
      <c r="L34" s="522">
        <v>1.7E-6</v>
      </c>
      <c r="M34" s="1208">
        <v>3.1</v>
      </c>
      <c r="N34" s="900">
        <v>327796.01480051002</v>
      </c>
      <c r="O34" s="281"/>
      <c r="P34" s="281"/>
    </row>
    <row r="35" spans="1:16" ht="14" customHeight="1" x14ac:dyDescent="0.15">
      <c r="A35" s="283"/>
      <c r="B35" s="1208">
        <v>3.2</v>
      </c>
      <c r="C35" s="724">
        <f t="shared" si="0"/>
        <v>1644.2673028000029</v>
      </c>
      <c r="D35" s="447">
        <v>8.3539279999999994E-2</v>
      </c>
      <c r="E35" s="846">
        <v>4.1290765199999999</v>
      </c>
      <c r="F35" s="536">
        <v>326264.72974344</v>
      </c>
      <c r="G35" s="737">
        <v>0.27336068000000002</v>
      </c>
      <c r="H35" s="516">
        <v>11.783946800000001</v>
      </c>
      <c r="I35" s="497">
        <v>1.0063248</v>
      </c>
      <c r="J35" s="529">
        <v>3.7875600000000002E-2</v>
      </c>
      <c r="K35" s="1133">
        <v>1.8588589999999999E-2</v>
      </c>
      <c r="L35" s="1134">
        <v>1.72E-6</v>
      </c>
      <c r="M35" s="1208">
        <v>3.2</v>
      </c>
      <c r="N35" s="900">
        <v>328048.40200697002</v>
      </c>
      <c r="O35" s="281"/>
      <c r="P35" s="281"/>
    </row>
    <row r="36" spans="1:16" ht="13.75" customHeight="1" x14ac:dyDescent="0.15">
      <c r="A36" s="283"/>
      <c r="B36" s="1208">
        <v>3.3</v>
      </c>
      <c r="C36" s="724">
        <f t="shared" si="0"/>
        <v>1653.446180700003</v>
      </c>
      <c r="D36" s="447">
        <v>8.537032E-2</v>
      </c>
      <c r="E36" s="846">
        <v>4.24971663</v>
      </c>
      <c r="F36" s="536">
        <v>326509.46406961</v>
      </c>
      <c r="G36" s="737">
        <v>0.28143905000000002</v>
      </c>
      <c r="H36" s="516">
        <v>11.915036300000001</v>
      </c>
      <c r="I36" s="497">
        <v>1.0136693999999999</v>
      </c>
      <c r="J36" s="529">
        <v>3.8039900000000001E-2</v>
      </c>
      <c r="K36" s="1133">
        <v>1.8623069999999999E-2</v>
      </c>
      <c r="L36" s="522">
        <v>1.7400000000000001E-6</v>
      </c>
      <c r="M36" s="1208">
        <v>3.3</v>
      </c>
      <c r="N36" s="900">
        <v>328300.78921342001</v>
      </c>
      <c r="O36" s="281"/>
      <c r="P36" s="281"/>
    </row>
    <row r="37" spans="1:16" ht="14" customHeight="1" x14ac:dyDescent="0.15">
      <c r="A37" s="283"/>
      <c r="B37" s="1208">
        <v>3.4</v>
      </c>
      <c r="C37" s="724">
        <f t="shared" si="0"/>
        <v>1662.6250586000031</v>
      </c>
      <c r="D37" s="447">
        <v>8.7201360000000006E-2</v>
      </c>
      <c r="E37" s="846">
        <v>4.3703567400000001</v>
      </c>
      <c r="F37" s="536">
        <v>326754.19839578</v>
      </c>
      <c r="G37" s="737">
        <v>0.28951740999999998</v>
      </c>
      <c r="H37" s="516">
        <v>12.0461258</v>
      </c>
      <c r="I37" s="497">
        <v>1.0210140999999999</v>
      </c>
      <c r="J37" s="529">
        <v>3.8204200000000001E-2</v>
      </c>
      <c r="K37" s="1133">
        <v>1.865756E-2</v>
      </c>
      <c r="L37" s="1134">
        <v>1.7600000000000001E-6</v>
      </c>
      <c r="M37" s="1208">
        <v>3.4</v>
      </c>
      <c r="N37" s="900">
        <v>328553.17641988001</v>
      </c>
      <c r="O37" s="281"/>
      <c r="P37" s="281"/>
    </row>
    <row r="38" spans="1:16" ht="13.75" customHeight="1" x14ac:dyDescent="0.15">
      <c r="A38" s="283"/>
      <c r="B38" s="1208">
        <v>3.5</v>
      </c>
      <c r="C38" s="724">
        <f t="shared" si="0"/>
        <v>1671.8039365000031</v>
      </c>
      <c r="D38" s="447">
        <v>8.9032399999999998E-2</v>
      </c>
      <c r="E38" s="846">
        <v>4.4909968500000002</v>
      </c>
      <c r="F38" s="536">
        <v>326998.93272195</v>
      </c>
      <c r="G38" s="737">
        <v>0.29759577999999998</v>
      </c>
      <c r="H38" s="516">
        <v>12.1772153</v>
      </c>
      <c r="I38" s="497">
        <v>1.0283587999999999</v>
      </c>
      <c r="J38" s="529">
        <v>3.8368399999999997E-2</v>
      </c>
      <c r="K38" s="1133">
        <v>1.869204E-2</v>
      </c>
      <c r="L38" s="522">
        <v>1.79E-6</v>
      </c>
      <c r="M38" s="1208">
        <v>3.5</v>
      </c>
      <c r="N38" s="900">
        <v>328805.56362633</v>
      </c>
      <c r="O38" s="281"/>
      <c r="P38" s="281"/>
    </row>
    <row r="39" spans="1:16" ht="14" customHeight="1" x14ac:dyDescent="0.15">
      <c r="A39" s="283"/>
      <c r="B39" s="1208">
        <v>3.6</v>
      </c>
      <c r="C39" s="724">
        <f t="shared" si="0"/>
        <v>1680.9828144000032</v>
      </c>
      <c r="D39" s="447">
        <v>9.0863440000000004E-2</v>
      </c>
      <c r="E39" s="846">
        <v>4.6116369600000002</v>
      </c>
      <c r="F39" s="536">
        <v>327243.66704812</v>
      </c>
      <c r="G39" s="737">
        <v>0.30567413999999998</v>
      </c>
      <c r="H39" s="516">
        <v>12.3083048</v>
      </c>
      <c r="I39" s="497">
        <v>1.0357035000000001</v>
      </c>
      <c r="J39" s="529">
        <v>3.8532700000000003E-2</v>
      </c>
      <c r="K39" s="1133">
        <v>1.872652E-2</v>
      </c>
      <c r="L39" s="1134">
        <v>1.81E-6</v>
      </c>
      <c r="M39" s="1208">
        <v>3.6</v>
      </c>
      <c r="N39" s="900">
        <v>329057.95083279</v>
      </c>
      <c r="O39" s="281"/>
      <c r="P39" s="281"/>
    </row>
    <row r="40" spans="1:16" ht="13.75" customHeight="1" x14ac:dyDescent="0.15">
      <c r="A40" s="283"/>
      <c r="B40" s="1208">
        <v>3.7</v>
      </c>
      <c r="C40" s="724">
        <f t="shared" si="0"/>
        <v>1690.1616923000033</v>
      </c>
      <c r="D40" s="447">
        <v>9.2694479999999996E-2</v>
      </c>
      <c r="E40" s="846">
        <v>4.7322770700000003</v>
      </c>
      <c r="F40" s="536">
        <v>327488.40137429</v>
      </c>
      <c r="G40" s="737">
        <v>0.31375250999999998</v>
      </c>
      <c r="H40" s="516">
        <v>12.4393943</v>
      </c>
      <c r="I40" s="497">
        <v>1.0430482000000001</v>
      </c>
      <c r="J40" s="529">
        <v>3.8697000000000002E-2</v>
      </c>
      <c r="K40" s="1133">
        <v>1.8761E-2</v>
      </c>
      <c r="L40" s="522">
        <v>1.8300000000000001E-6</v>
      </c>
      <c r="M40" s="1208">
        <v>3.7</v>
      </c>
      <c r="N40" s="900">
        <v>329310.33803925</v>
      </c>
      <c r="O40" s="281"/>
      <c r="P40" s="281"/>
    </row>
    <row r="41" spans="1:16" ht="14" customHeight="1" x14ac:dyDescent="0.15">
      <c r="A41" s="283"/>
      <c r="B41" s="1208">
        <v>3.8</v>
      </c>
      <c r="C41" s="724">
        <f t="shared" si="0"/>
        <v>1699.3405702000034</v>
      </c>
      <c r="D41" s="447">
        <v>9.4525520000000002E-2</v>
      </c>
      <c r="E41" s="846">
        <v>4.8529171800000004</v>
      </c>
      <c r="F41" s="536">
        <v>327733.13570046</v>
      </c>
      <c r="G41" s="737">
        <v>0.32183086999999999</v>
      </c>
      <c r="H41" s="516">
        <v>12.5704838</v>
      </c>
      <c r="I41" s="497">
        <v>1.0503929000000001</v>
      </c>
      <c r="J41" s="529">
        <v>3.8861300000000001E-2</v>
      </c>
      <c r="K41" s="1133">
        <v>1.8795490000000002E-2</v>
      </c>
      <c r="L41" s="1134">
        <v>1.8500000000000001E-6</v>
      </c>
      <c r="M41" s="1208">
        <v>3.8</v>
      </c>
      <c r="N41" s="900">
        <v>329562.72524569998</v>
      </c>
      <c r="O41" s="281"/>
      <c r="P41" s="281"/>
    </row>
    <row r="42" spans="1:16" ht="13.75" customHeight="1" x14ac:dyDescent="0.15">
      <c r="A42" s="283"/>
      <c r="B42" s="1208">
        <v>3.9</v>
      </c>
      <c r="C42" s="724">
        <f t="shared" si="0"/>
        <v>1708.5194481000035</v>
      </c>
      <c r="D42" s="447">
        <v>9.6356559999999994E-2</v>
      </c>
      <c r="E42" s="846">
        <v>4.9735572899999996</v>
      </c>
      <c r="F42" s="536">
        <v>327977.87002663</v>
      </c>
      <c r="G42" s="737">
        <v>0.32990923999999999</v>
      </c>
      <c r="H42" s="516">
        <v>12.7015733</v>
      </c>
      <c r="I42" s="497">
        <v>1.0577375</v>
      </c>
      <c r="J42" s="529">
        <v>3.9025600000000001E-2</v>
      </c>
      <c r="K42" s="1133">
        <v>1.8829970000000001E-2</v>
      </c>
      <c r="L42" s="522">
        <v>1.8700000000000001E-6</v>
      </c>
      <c r="M42" s="1208">
        <v>3.9</v>
      </c>
      <c r="N42" s="900">
        <v>329815.11245215998</v>
      </c>
      <c r="O42" s="281"/>
      <c r="P42" s="281"/>
    </row>
    <row r="43" spans="1:16" ht="15" customHeight="1" x14ac:dyDescent="0.15">
      <c r="A43" s="283"/>
      <c r="B43" s="1199">
        <v>4</v>
      </c>
      <c r="C43" s="724">
        <f t="shared" si="0"/>
        <v>1717.6983260000036</v>
      </c>
      <c r="D43" s="1201">
        <v>9.81876E-2</v>
      </c>
      <c r="E43" s="1259">
        <v>5.0941973999999997</v>
      </c>
      <c r="F43" s="1202">
        <v>328222.6043528</v>
      </c>
      <c r="G43" s="1203">
        <v>0.3379876</v>
      </c>
      <c r="H43" s="1204">
        <v>12.8326628</v>
      </c>
      <c r="I43" s="1260">
        <v>1.0650822</v>
      </c>
      <c r="J43" s="1205">
        <v>3.91899E-2</v>
      </c>
      <c r="K43" s="1261">
        <v>1.8864450000000001E-2</v>
      </c>
      <c r="L43" s="1262">
        <v>1.8899999999999999E-6</v>
      </c>
      <c r="M43" s="1199">
        <v>4</v>
      </c>
      <c r="N43" s="900">
        <v>330067.49965860997</v>
      </c>
      <c r="O43" s="281"/>
      <c r="P43" s="281"/>
    </row>
    <row r="44" spans="1:16" ht="13.75" customHeight="1" x14ac:dyDescent="0.15">
      <c r="A44" s="283"/>
      <c r="B44" s="1208">
        <v>4.0999999999999996</v>
      </c>
      <c r="C44" s="724">
        <f t="shared" si="0"/>
        <v>1726.8772039000037</v>
      </c>
      <c r="D44" s="447">
        <v>0.10001864000000001</v>
      </c>
      <c r="E44" s="846">
        <v>5.2148375099999997</v>
      </c>
      <c r="F44" s="536">
        <v>328467.33867897</v>
      </c>
      <c r="G44" s="737">
        <v>0.34606597</v>
      </c>
      <c r="H44" s="516">
        <v>12.963752299999999</v>
      </c>
      <c r="I44" s="497">
        <v>1.0724269</v>
      </c>
      <c r="J44" s="529">
        <v>3.9354100000000003E-2</v>
      </c>
      <c r="K44" s="1133">
        <v>1.8898930000000001E-2</v>
      </c>
      <c r="L44" s="522">
        <v>1.9199999999999998E-6</v>
      </c>
      <c r="M44" s="1208">
        <v>4.0999999999999996</v>
      </c>
      <c r="N44" s="900">
        <v>330319.88686506997</v>
      </c>
      <c r="O44" s="281"/>
      <c r="P44" s="281"/>
    </row>
    <row r="45" spans="1:16" ht="14" customHeight="1" x14ac:dyDescent="0.15">
      <c r="A45" s="283"/>
      <c r="B45" s="1208">
        <v>4.2</v>
      </c>
      <c r="C45" s="724">
        <f t="shared" si="0"/>
        <v>1736.0560818000038</v>
      </c>
      <c r="D45" s="447">
        <v>0.10184968</v>
      </c>
      <c r="E45" s="846">
        <v>5.3354776199999998</v>
      </c>
      <c r="F45" s="536">
        <v>328712.07300514</v>
      </c>
      <c r="G45" s="737">
        <v>0.35414433000000001</v>
      </c>
      <c r="H45" s="516">
        <v>13.094841799999999</v>
      </c>
      <c r="I45" s="497">
        <v>1.0797715999999999</v>
      </c>
      <c r="J45" s="529">
        <v>3.9518400000000002E-2</v>
      </c>
      <c r="K45" s="1133">
        <v>1.8933419999999999E-2</v>
      </c>
      <c r="L45" s="1134">
        <v>1.9400000000000001E-6</v>
      </c>
      <c r="M45" s="1208">
        <v>4.2</v>
      </c>
      <c r="N45" s="900">
        <v>330572.27407152997</v>
      </c>
      <c r="O45" s="281"/>
      <c r="P45" s="281"/>
    </row>
    <row r="46" spans="1:16" ht="13.75" customHeight="1" x14ac:dyDescent="0.15">
      <c r="A46" s="283"/>
      <c r="B46" s="1208">
        <v>4.3</v>
      </c>
      <c r="C46" s="724">
        <f t="shared" si="0"/>
        <v>1745.2349597000039</v>
      </c>
      <c r="D46" s="447">
        <v>0.10368072</v>
      </c>
      <c r="E46" s="846">
        <v>5.4561177299999999</v>
      </c>
      <c r="F46" s="536">
        <v>328956.80733131</v>
      </c>
      <c r="G46" s="737">
        <v>0.36222270000000001</v>
      </c>
      <c r="H46" s="516">
        <v>13.225931299999999</v>
      </c>
      <c r="I46" s="497">
        <v>1.0871162999999999</v>
      </c>
      <c r="J46" s="529">
        <v>3.9682700000000001E-2</v>
      </c>
      <c r="K46" s="1133">
        <v>1.8967899999999999E-2</v>
      </c>
      <c r="L46" s="522">
        <v>1.9599999999999999E-6</v>
      </c>
      <c r="M46" s="1208">
        <v>4.3</v>
      </c>
      <c r="N46" s="900">
        <v>330824.66127798002</v>
      </c>
      <c r="O46" s="281"/>
      <c r="P46" s="281"/>
    </row>
    <row r="47" spans="1:16" ht="14" customHeight="1" x14ac:dyDescent="0.15">
      <c r="A47" s="283"/>
      <c r="B47" s="1208">
        <v>4.4000000000000004</v>
      </c>
      <c r="C47" s="724">
        <f t="shared" si="0"/>
        <v>1754.4138376000039</v>
      </c>
      <c r="D47" s="447">
        <v>0.10551176</v>
      </c>
      <c r="E47" s="846">
        <v>5.57675784</v>
      </c>
      <c r="F47" s="536">
        <v>329201.54165748</v>
      </c>
      <c r="G47" s="737">
        <v>0.37030106000000002</v>
      </c>
      <c r="H47" s="516">
        <v>13.357020800000001</v>
      </c>
      <c r="I47" s="497">
        <v>1.0944609999999999</v>
      </c>
      <c r="J47" s="529">
        <v>3.9847E-2</v>
      </c>
      <c r="K47" s="1133">
        <v>1.9002379999999999E-2</v>
      </c>
      <c r="L47" s="1134">
        <v>1.9800000000000001E-6</v>
      </c>
      <c r="M47" s="1208">
        <v>4.4000000000000004</v>
      </c>
      <c r="N47" s="900">
        <v>331077.04848444002</v>
      </c>
      <c r="O47" s="281"/>
      <c r="P47" s="281"/>
    </row>
    <row r="48" spans="1:16" ht="13.75" customHeight="1" x14ac:dyDescent="0.15">
      <c r="A48" s="283"/>
      <c r="B48" s="1208">
        <v>4.5</v>
      </c>
      <c r="C48" s="724">
        <f t="shared" si="0"/>
        <v>1763.592715500004</v>
      </c>
      <c r="D48" s="447">
        <v>0.1073428</v>
      </c>
      <c r="E48" s="846">
        <v>5.69739795</v>
      </c>
      <c r="F48" s="536">
        <v>329446.27598365</v>
      </c>
      <c r="G48" s="737">
        <v>0.37837943000000002</v>
      </c>
      <c r="H48" s="516">
        <v>13.488110300000001</v>
      </c>
      <c r="I48" s="497">
        <v>1.1018056000000001</v>
      </c>
      <c r="J48" s="529">
        <v>4.00113E-2</v>
      </c>
      <c r="K48" s="1133">
        <v>1.9036859999999999E-2</v>
      </c>
      <c r="L48" s="522">
        <v>1.9999999999999999E-6</v>
      </c>
      <c r="M48" s="1208">
        <v>4.5</v>
      </c>
      <c r="N48" s="900">
        <v>331329.43569089001</v>
      </c>
      <c r="O48" s="281"/>
      <c r="P48" s="281"/>
    </row>
    <row r="49" spans="1:16" ht="14" customHeight="1" x14ac:dyDescent="0.15">
      <c r="A49" s="283"/>
      <c r="B49" s="1208">
        <v>4.5999999999999996</v>
      </c>
      <c r="C49" s="724">
        <f t="shared" si="0"/>
        <v>1772.7715934000041</v>
      </c>
      <c r="D49" s="447">
        <v>0.10917383999999999</v>
      </c>
      <c r="E49" s="846">
        <v>5.8180380600000001</v>
      </c>
      <c r="F49" s="536">
        <v>329691.01030982001</v>
      </c>
      <c r="G49" s="737">
        <v>0.38645779000000002</v>
      </c>
      <c r="H49" s="516">
        <v>13.619199800000001</v>
      </c>
      <c r="I49" s="497">
        <v>1.1091503</v>
      </c>
      <c r="J49" s="529">
        <v>4.0175599999999999E-2</v>
      </c>
      <c r="K49" s="1133">
        <v>1.9071350000000001E-2</v>
      </c>
      <c r="L49" s="1134">
        <v>2.03E-6</v>
      </c>
      <c r="M49" s="1208">
        <v>4.5999999999999996</v>
      </c>
      <c r="N49" s="900">
        <v>331581.82289735001</v>
      </c>
      <c r="O49" s="281"/>
      <c r="P49" s="281"/>
    </row>
    <row r="50" spans="1:16" ht="13.75" customHeight="1" x14ac:dyDescent="0.15">
      <c r="A50" s="283"/>
      <c r="B50" s="1208">
        <v>4.7</v>
      </c>
      <c r="C50" s="724">
        <f t="shared" si="0"/>
        <v>1781.9504713000042</v>
      </c>
      <c r="D50" s="447">
        <v>0.11100488</v>
      </c>
      <c r="E50" s="846">
        <v>5.9386781700000002</v>
      </c>
      <c r="F50" s="536">
        <v>329935.74463599001</v>
      </c>
      <c r="G50" s="737">
        <v>0.39453616000000002</v>
      </c>
      <c r="H50" s="516">
        <v>13.7502893</v>
      </c>
      <c r="I50" s="497">
        <v>1.116495</v>
      </c>
      <c r="J50" s="529">
        <v>4.0339800000000002E-2</v>
      </c>
      <c r="K50" s="1133">
        <v>1.9105830000000001E-2</v>
      </c>
      <c r="L50" s="522">
        <v>2.0499999999999999E-6</v>
      </c>
      <c r="M50" s="1208">
        <v>4.7</v>
      </c>
      <c r="N50" s="900">
        <v>331834.21010381001</v>
      </c>
      <c r="O50" s="281"/>
      <c r="P50" s="281"/>
    </row>
    <row r="51" spans="1:16" ht="14" customHeight="1" x14ac:dyDescent="0.15">
      <c r="A51" s="283"/>
      <c r="B51" s="1208">
        <v>4.8</v>
      </c>
      <c r="C51" s="724">
        <f t="shared" si="0"/>
        <v>1791.1293492000043</v>
      </c>
      <c r="D51" s="447">
        <v>0.11283592000000001</v>
      </c>
      <c r="E51" s="846">
        <v>6.0593182800000003</v>
      </c>
      <c r="F51" s="536">
        <v>330180.47896216001</v>
      </c>
      <c r="G51" s="737">
        <v>0.40261451999999998</v>
      </c>
      <c r="H51" s="516">
        <v>13.8813788</v>
      </c>
      <c r="I51" s="497">
        <v>1.1238397</v>
      </c>
      <c r="J51" s="529">
        <v>4.0504100000000001E-2</v>
      </c>
      <c r="K51" s="1133">
        <v>1.9140310000000001E-2</v>
      </c>
      <c r="L51" s="1134">
        <v>2.0700000000000001E-6</v>
      </c>
      <c r="M51" s="1208">
        <v>4.8</v>
      </c>
      <c r="N51" s="900">
        <v>332086.59731026</v>
      </c>
      <c r="O51" s="281"/>
      <c r="P51" s="281"/>
    </row>
    <row r="52" spans="1:16" ht="13.75" customHeight="1" x14ac:dyDescent="0.15">
      <c r="A52" s="283"/>
      <c r="B52" s="1208">
        <v>4.9000000000000004</v>
      </c>
      <c r="C52" s="724">
        <f t="shared" si="0"/>
        <v>1800.3082271000044</v>
      </c>
      <c r="D52" s="447">
        <v>0.11466696</v>
      </c>
      <c r="E52" s="846">
        <v>6.1799583900000004</v>
      </c>
      <c r="F52" s="536">
        <v>330425.21328833001</v>
      </c>
      <c r="G52" s="737">
        <v>0.41069288999999998</v>
      </c>
      <c r="H52" s="516">
        <v>14.0124683</v>
      </c>
      <c r="I52" s="497">
        <v>1.1311844</v>
      </c>
      <c r="J52" s="529">
        <v>4.06684E-2</v>
      </c>
      <c r="K52" s="1133">
        <v>1.9174790000000001E-2</v>
      </c>
      <c r="L52" s="522">
        <v>2.0899999999999999E-6</v>
      </c>
      <c r="M52" s="1208">
        <v>4.9000000000000004</v>
      </c>
      <c r="N52" s="900">
        <v>332338.98451672</v>
      </c>
      <c r="O52" s="281"/>
      <c r="P52" s="281"/>
    </row>
    <row r="53" spans="1:16" ht="15" customHeight="1" x14ac:dyDescent="0.15">
      <c r="A53" s="283"/>
      <c r="B53" s="1199">
        <v>5</v>
      </c>
      <c r="C53" s="724">
        <f t="shared" si="0"/>
        <v>1809.4871050000045</v>
      </c>
      <c r="D53" s="1201">
        <v>0.116498</v>
      </c>
      <c r="E53" s="1259">
        <v>6.3005985000000004</v>
      </c>
      <c r="F53" s="1202">
        <v>330669.94761450001</v>
      </c>
      <c r="G53" s="1203">
        <v>0.41877124999999998</v>
      </c>
      <c r="H53" s="1204">
        <v>14.1435578</v>
      </c>
      <c r="I53" s="1260">
        <v>1.1385291</v>
      </c>
      <c r="J53" s="1205">
        <v>4.08327E-2</v>
      </c>
      <c r="K53" s="1261">
        <v>1.9209279999999999E-2</v>
      </c>
      <c r="L53" s="1262">
        <v>2.1100000000000001E-6</v>
      </c>
      <c r="M53" s="1199">
        <v>5</v>
      </c>
      <c r="N53" s="900">
        <v>332591.37172316998</v>
      </c>
      <c r="O53" s="281"/>
      <c r="P53" s="281"/>
    </row>
    <row r="54" spans="1:16" ht="13.75" customHeight="1" x14ac:dyDescent="0.15">
      <c r="A54" s="283"/>
      <c r="B54" s="1208">
        <v>5.0999999999999996</v>
      </c>
      <c r="C54" s="724">
        <f t="shared" si="0"/>
        <v>1818.6659829000046</v>
      </c>
      <c r="D54" s="447">
        <v>0.11832904</v>
      </c>
      <c r="E54" s="846">
        <v>6.4212386099999996</v>
      </c>
      <c r="F54" s="536">
        <v>330914.68194067001</v>
      </c>
      <c r="G54" s="737">
        <v>0.42684961999999999</v>
      </c>
      <c r="H54" s="516">
        <v>14.2746473</v>
      </c>
      <c r="I54" s="497">
        <v>1.1458737000000001</v>
      </c>
      <c r="J54" s="529">
        <v>4.0996999999999999E-2</v>
      </c>
      <c r="K54" s="1133">
        <v>1.9243759999999999E-2</v>
      </c>
      <c r="L54" s="522">
        <v>2.1299999999999999E-6</v>
      </c>
      <c r="M54" s="1208">
        <v>5.0999999999999996</v>
      </c>
      <c r="N54" s="900">
        <v>332843.75892962998</v>
      </c>
      <c r="O54" s="281"/>
      <c r="P54" s="281"/>
    </row>
    <row r="55" spans="1:16" ht="14" customHeight="1" x14ac:dyDescent="0.15">
      <c r="A55" s="283"/>
      <c r="B55" s="1208">
        <v>5.2</v>
      </c>
      <c r="C55" s="724">
        <f t="shared" si="0"/>
        <v>1827.8448608000047</v>
      </c>
      <c r="D55" s="447">
        <v>0.12016008</v>
      </c>
      <c r="E55" s="846">
        <v>6.5418787199999997</v>
      </c>
      <c r="F55" s="536">
        <v>331159.41626684001</v>
      </c>
      <c r="G55" s="737">
        <v>0.43492797999999999</v>
      </c>
      <c r="H55" s="516">
        <v>14.4057368</v>
      </c>
      <c r="I55" s="497">
        <v>1.1532184000000001</v>
      </c>
      <c r="J55" s="529">
        <v>4.1161299999999998E-2</v>
      </c>
      <c r="K55" s="1133">
        <v>1.9278239999999999E-2</v>
      </c>
      <c r="L55" s="1134">
        <v>2.1600000000000001E-6</v>
      </c>
      <c r="M55" s="1208">
        <v>5.2</v>
      </c>
      <c r="N55" s="900">
        <v>333096.14613608998</v>
      </c>
      <c r="O55" s="281"/>
      <c r="P55" s="281"/>
    </row>
    <row r="56" spans="1:16" ht="13.75" customHeight="1" x14ac:dyDescent="0.15">
      <c r="A56" s="283"/>
      <c r="B56" s="1208">
        <v>5.3</v>
      </c>
      <c r="C56" s="724">
        <f t="shared" si="0"/>
        <v>1837.0237387000047</v>
      </c>
      <c r="D56" s="447">
        <v>0.12199111999999999</v>
      </c>
      <c r="E56" s="846">
        <v>6.6625188299999998</v>
      </c>
      <c r="F56" s="536">
        <v>331404.15059301001</v>
      </c>
      <c r="G56" s="737">
        <v>0.44300634999999999</v>
      </c>
      <c r="H56" s="516">
        <v>14.5368263</v>
      </c>
      <c r="I56" s="497">
        <v>1.1605631000000001</v>
      </c>
      <c r="J56" s="529">
        <v>4.1325599999999997E-2</v>
      </c>
      <c r="K56" s="1133">
        <v>1.9312719999999998E-2</v>
      </c>
      <c r="L56" s="522">
        <v>2.1799999999999999E-6</v>
      </c>
      <c r="M56" s="1208">
        <v>5.3</v>
      </c>
      <c r="N56" s="900">
        <v>333348.53334253997</v>
      </c>
      <c r="O56" s="281"/>
      <c r="P56" s="281"/>
    </row>
    <row r="57" spans="1:16" ht="14" customHeight="1" x14ac:dyDescent="0.15">
      <c r="A57" s="283"/>
      <c r="B57" s="1208">
        <v>5.4</v>
      </c>
      <c r="C57" s="724">
        <f t="shared" si="0"/>
        <v>1846.2026166000048</v>
      </c>
      <c r="D57" s="447">
        <v>0.12382216</v>
      </c>
      <c r="E57" s="846">
        <v>6.7831589399999999</v>
      </c>
      <c r="F57" s="536">
        <v>331648.88491918001</v>
      </c>
      <c r="G57" s="737">
        <v>0.45108471</v>
      </c>
      <c r="H57" s="516">
        <v>14.667915799999999</v>
      </c>
      <c r="I57" s="497">
        <v>1.1679078000000001</v>
      </c>
      <c r="J57" s="529">
        <v>4.14898E-2</v>
      </c>
      <c r="K57" s="1133">
        <v>1.934721E-2</v>
      </c>
      <c r="L57" s="1134">
        <v>2.2000000000000001E-6</v>
      </c>
      <c r="M57" s="1208">
        <v>5.4</v>
      </c>
      <c r="N57" s="900">
        <v>333600.92054899997</v>
      </c>
      <c r="O57" s="281"/>
      <c r="P57" s="281"/>
    </row>
    <row r="58" spans="1:16" ht="13.75" customHeight="1" x14ac:dyDescent="0.15">
      <c r="A58" s="283"/>
      <c r="B58" s="1208">
        <v>5.5</v>
      </c>
      <c r="C58" s="724">
        <f t="shared" si="0"/>
        <v>1855.3814945000049</v>
      </c>
      <c r="D58" s="447">
        <v>0.12565319999999999</v>
      </c>
      <c r="E58" s="846">
        <v>6.9037990499999999</v>
      </c>
      <c r="F58" s="536">
        <v>331893.61924535001</v>
      </c>
      <c r="G58" s="737">
        <v>0.45916308</v>
      </c>
      <c r="H58" s="516">
        <v>14.799005299999999</v>
      </c>
      <c r="I58" s="497">
        <v>1.1752525</v>
      </c>
      <c r="J58" s="529">
        <v>4.1654099999999999E-2</v>
      </c>
      <c r="K58" s="1133">
        <v>1.938169E-2</v>
      </c>
      <c r="L58" s="522">
        <v>2.2199999999999999E-6</v>
      </c>
      <c r="M58" s="1208">
        <v>5.5</v>
      </c>
      <c r="N58" s="900">
        <v>333853.30775545002</v>
      </c>
      <c r="O58" s="281"/>
      <c r="P58" s="281"/>
    </row>
    <row r="59" spans="1:16" ht="14" customHeight="1" x14ac:dyDescent="0.15">
      <c r="A59" s="283"/>
      <c r="B59" s="1208">
        <v>5.6</v>
      </c>
      <c r="C59" s="724">
        <f t="shared" si="0"/>
        <v>1864.560372400005</v>
      </c>
      <c r="D59" s="447">
        <v>0.12748424</v>
      </c>
      <c r="E59" s="846">
        <v>7.02443916</v>
      </c>
      <c r="F59" s="536">
        <v>332138.35357152001</v>
      </c>
      <c r="G59" s="737">
        <v>0.46724144000000001</v>
      </c>
      <c r="H59" s="516">
        <v>14.930094800000001</v>
      </c>
      <c r="I59" s="497">
        <v>1.1825971</v>
      </c>
      <c r="J59" s="529">
        <v>4.1818399999999999E-2</v>
      </c>
      <c r="K59" s="1133">
        <v>1.941617E-2</v>
      </c>
      <c r="L59" s="1134">
        <v>2.2400000000000002E-6</v>
      </c>
      <c r="M59" s="1208">
        <v>5.6</v>
      </c>
      <c r="N59" s="900">
        <v>334105.69496191002</v>
      </c>
      <c r="O59" s="281"/>
      <c r="P59" s="281"/>
    </row>
    <row r="60" spans="1:16" ht="13.75" customHeight="1" x14ac:dyDescent="0.15">
      <c r="A60" s="283"/>
      <c r="B60" s="1208">
        <v>5.7</v>
      </c>
      <c r="C60" s="724">
        <f t="shared" si="0"/>
        <v>1873.7392503000051</v>
      </c>
      <c r="D60" s="447">
        <v>0.12931528</v>
      </c>
      <c r="E60" s="846">
        <v>7.1450792700000001</v>
      </c>
      <c r="F60" s="536">
        <v>332383.08789769001</v>
      </c>
      <c r="G60" s="737">
        <v>0.47531981000000001</v>
      </c>
      <c r="H60" s="516">
        <v>15.061184300000001</v>
      </c>
      <c r="I60" s="497">
        <v>1.1899417999999999</v>
      </c>
      <c r="J60" s="529">
        <v>4.1982699999999998E-2</v>
      </c>
      <c r="K60" s="1133">
        <v>1.945065E-2</v>
      </c>
      <c r="L60" s="522">
        <v>2.26E-6</v>
      </c>
      <c r="M60" s="1208">
        <v>5.7</v>
      </c>
      <c r="N60" s="900">
        <v>334358.08216837002</v>
      </c>
      <c r="O60" s="281"/>
      <c r="P60" s="281"/>
    </row>
    <row r="61" spans="1:16" ht="14" customHeight="1" x14ac:dyDescent="0.15">
      <c r="A61" s="283"/>
      <c r="B61" s="1208">
        <v>5.8</v>
      </c>
      <c r="C61" s="724">
        <f t="shared" si="0"/>
        <v>1882.9181282000052</v>
      </c>
      <c r="D61" s="447">
        <v>0.13114632000000001</v>
      </c>
      <c r="E61" s="846">
        <v>7.2657193800000002</v>
      </c>
      <c r="F61" s="536">
        <v>332627.82222386001</v>
      </c>
      <c r="G61" s="737">
        <v>0.48339817000000002</v>
      </c>
      <c r="H61" s="516">
        <v>15.192273800000001</v>
      </c>
      <c r="I61" s="497">
        <v>1.1972864999999999</v>
      </c>
      <c r="J61" s="529">
        <v>4.2146999999999997E-2</v>
      </c>
      <c r="K61" s="1133">
        <v>1.9485140000000001E-2</v>
      </c>
      <c r="L61" s="1134">
        <v>2.2900000000000001E-6</v>
      </c>
      <c r="M61" s="1208">
        <v>5.8</v>
      </c>
      <c r="N61" s="900">
        <v>334610.46937482001</v>
      </c>
      <c r="O61" s="281"/>
      <c r="P61" s="281"/>
    </row>
    <row r="62" spans="1:16" ht="13.75" customHeight="1" x14ac:dyDescent="0.15">
      <c r="A62" s="283"/>
      <c r="B62" s="1208">
        <v>5.9</v>
      </c>
      <c r="C62" s="724">
        <f t="shared" si="0"/>
        <v>1892.0970061000053</v>
      </c>
      <c r="D62" s="447">
        <v>0.13297735999999999</v>
      </c>
      <c r="E62" s="846">
        <v>7.3863594900000002</v>
      </c>
      <c r="F62" s="536">
        <v>332872.55655003001</v>
      </c>
      <c r="G62" s="737">
        <v>0.49147654000000002</v>
      </c>
      <c r="H62" s="516">
        <v>15.3233633</v>
      </c>
      <c r="I62" s="497">
        <v>1.2046311999999999</v>
      </c>
      <c r="J62" s="529">
        <v>4.2311300000000003E-2</v>
      </c>
      <c r="K62" s="1133">
        <v>1.9519620000000001E-2</v>
      </c>
      <c r="L62" s="522">
        <v>2.3099999999999999E-6</v>
      </c>
      <c r="M62" s="1208">
        <v>5.9</v>
      </c>
      <c r="N62" s="900">
        <v>334862.85658128001</v>
      </c>
      <c r="O62" s="281"/>
      <c r="P62" s="281"/>
    </row>
    <row r="63" spans="1:16" ht="14" customHeight="1" x14ac:dyDescent="0.15">
      <c r="A63" s="283"/>
      <c r="B63" s="1199">
        <v>6</v>
      </c>
      <c r="C63" s="724">
        <f t="shared" si="0"/>
        <v>1901.2758840000054</v>
      </c>
      <c r="D63" s="1201">
        <v>0.13480839999999999</v>
      </c>
      <c r="E63" s="1259">
        <v>7.5069996000000003</v>
      </c>
      <c r="F63" s="1202">
        <v>333117.29087620002</v>
      </c>
      <c r="G63" s="1203">
        <v>0.49955490000000002</v>
      </c>
      <c r="H63" s="1204">
        <v>15.4544528</v>
      </c>
      <c r="I63" s="1260">
        <v>1.2119759000000001</v>
      </c>
      <c r="J63" s="1205">
        <v>4.2475499999999999E-2</v>
      </c>
      <c r="K63" s="1261">
        <v>1.9554100000000001E-2</v>
      </c>
      <c r="L63" s="1262">
        <v>2.3300000000000001E-6</v>
      </c>
      <c r="M63" s="1199">
        <v>6</v>
      </c>
      <c r="N63" s="900">
        <v>335115.24378773</v>
      </c>
      <c r="O63" s="281"/>
      <c r="P63" s="281"/>
    </row>
    <row r="64" spans="1:16" ht="13.75" customHeight="1" x14ac:dyDescent="0.15">
      <c r="A64" s="283"/>
      <c r="B64" s="1208">
        <v>6.1</v>
      </c>
      <c r="C64" s="724">
        <f t="shared" si="0"/>
        <v>1910.4547619000055</v>
      </c>
      <c r="D64" s="447">
        <v>0.13663944</v>
      </c>
      <c r="E64" s="846">
        <v>7.6276397100000004</v>
      </c>
      <c r="F64" s="536">
        <v>333362.02520237002</v>
      </c>
      <c r="G64" s="737">
        <v>0.50763327000000003</v>
      </c>
      <c r="H64" s="516">
        <v>15.5855423</v>
      </c>
      <c r="I64" s="497">
        <v>1.2193206000000001</v>
      </c>
      <c r="J64" s="529">
        <v>4.2639799999999999E-2</v>
      </c>
      <c r="K64" s="1133">
        <v>1.9588580000000001E-2</v>
      </c>
      <c r="L64" s="522">
        <v>2.3499999999999999E-6</v>
      </c>
      <c r="M64" s="1208">
        <v>6.1</v>
      </c>
      <c r="N64" s="900">
        <v>335367.63099419</v>
      </c>
      <c r="O64" s="281"/>
      <c r="P64" s="281"/>
    </row>
    <row r="65" spans="1:16" ht="14" customHeight="1" x14ac:dyDescent="0.15">
      <c r="A65" s="283"/>
      <c r="B65" s="1208">
        <v>6.2</v>
      </c>
      <c r="C65" s="724">
        <f t="shared" si="0"/>
        <v>1919.6336398000055</v>
      </c>
      <c r="D65" s="447">
        <v>0.13847048000000001</v>
      </c>
      <c r="E65" s="846">
        <v>7.7482798199999996</v>
      </c>
      <c r="F65" s="536">
        <v>333606.75952854002</v>
      </c>
      <c r="G65" s="737">
        <v>0.51571162999999998</v>
      </c>
      <c r="H65" s="516">
        <v>15.7166318</v>
      </c>
      <c r="I65" s="497">
        <v>1.2266652</v>
      </c>
      <c r="J65" s="529">
        <v>4.2804099999999998E-2</v>
      </c>
      <c r="K65" s="1133">
        <v>1.9623069999999999E-2</v>
      </c>
      <c r="L65" s="1134">
        <v>2.3700000000000002E-6</v>
      </c>
      <c r="M65" s="1208">
        <v>6.2</v>
      </c>
      <c r="N65" s="900">
        <v>335620.01820065</v>
      </c>
      <c r="O65" s="281"/>
      <c r="P65" s="281"/>
    </row>
    <row r="66" spans="1:16" ht="13.75" customHeight="1" x14ac:dyDescent="0.15">
      <c r="A66" s="283"/>
      <c r="B66" s="1208">
        <v>6.3</v>
      </c>
      <c r="C66" s="724">
        <f t="shared" si="0"/>
        <v>1928.8125177000056</v>
      </c>
      <c r="D66" s="447">
        <v>0.14030152000000001</v>
      </c>
      <c r="E66" s="846">
        <v>7.8689199299999997</v>
      </c>
      <c r="F66" s="536">
        <v>333851.49385471002</v>
      </c>
      <c r="G66" s="737">
        <v>0.52378999999999998</v>
      </c>
      <c r="H66" s="516">
        <v>15.8477213</v>
      </c>
      <c r="I66" s="497">
        <v>1.2340099</v>
      </c>
      <c r="J66" s="529">
        <v>4.2968399999999997E-2</v>
      </c>
      <c r="K66" s="1133">
        <v>1.9657549999999999E-2</v>
      </c>
      <c r="L66" s="522">
        <v>2.3999999999999999E-6</v>
      </c>
      <c r="M66" s="1208">
        <v>6.3</v>
      </c>
      <c r="N66" s="900">
        <v>335872.40540709998</v>
      </c>
      <c r="O66" s="281"/>
      <c r="P66" s="281"/>
    </row>
    <row r="67" spans="1:16" ht="14" customHeight="1" x14ac:dyDescent="0.15">
      <c r="A67" s="283"/>
      <c r="B67" s="1208">
        <v>6.4</v>
      </c>
      <c r="C67" s="724">
        <f t="shared" si="0"/>
        <v>1937.9913956000057</v>
      </c>
      <c r="D67" s="447">
        <v>0.14213255999999999</v>
      </c>
      <c r="E67" s="846">
        <v>7.9895600399999998</v>
      </c>
      <c r="F67" s="536">
        <v>334096.22818088002</v>
      </c>
      <c r="G67" s="737">
        <v>0.53186836000000004</v>
      </c>
      <c r="H67" s="516">
        <v>15.9788108</v>
      </c>
      <c r="I67" s="497">
        <v>1.2413546</v>
      </c>
      <c r="J67" s="529">
        <v>4.3132700000000003E-2</v>
      </c>
      <c r="K67" s="1133">
        <v>1.9692029999999999E-2</v>
      </c>
      <c r="L67" s="1134">
        <v>2.4200000000000001E-6</v>
      </c>
      <c r="M67" s="1208">
        <v>6.4</v>
      </c>
      <c r="N67" s="900">
        <v>336124.79261355998</v>
      </c>
      <c r="O67" s="281"/>
      <c r="P67" s="281"/>
    </row>
    <row r="68" spans="1:16" ht="13.75" customHeight="1" x14ac:dyDescent="0.15">
      <c r="A68" s="283"/>
      <c r="B68" s="1208">
        <v>6.5</v>
      </c>
      <c r="C68" s="724">
        <f t="shared" si="0"/>
        <v>1947.1702735000058</v>
      </c>
      <c r="D68" s="447">
        <v>0.1439636</v>
      </c>
      <c r="E68" s="846">
        <v>8.1102001500000007</v>
      </c>
      <c r="F68" s="536">
        <v>334340.96250705002</v>
      </c>
      <c r="G68" s="737">
        <v>0.53994673000000004</v>
      </c>
      <c r="H68" s="516">
        <v>16.1099003</v>
      </c>
      <c r="I68" s="497">
        <v>1.2486993</v>
      </c>
      <c r="J68" s="529">
        <v>4.3297000000000002E-2</v>
      </c>
      <c r="K68" s="1133">
        <v>1.9726509999999999E-2</v>
      </c>
      <c r="L68" s="522">
        <v>2.4399999999999999E-6</v>
      </c>
      <c r="M68" s="1208">
        <v>6.5</v>
      </c>
      <c r="N68" s="900">
        <v>336377.17982000997</v>
      </c>
      <c r="O68" s="281"/>
      <c r="P68" s="281"/>
    </row>
    <row r="69" spans="1:16" ht="14" customHeight="1" x14ac:dyDescent="0.15">
      <c r="A69" s="283"/>
      <c r="B69" s="1208">
        <v>6.6</v>
      </c>
      <c r="C69" s="724">
        <f t="shared" si="0"/>
        <v>1956.3491514000059</v>
      </c>
      <c r="D69" s="447">
        <v>0.14579464</v>
      </c>
      <c r="E69" s="846">
        <v>8.2308402600000008</v>
      </c>
      <c r="F69" s="536">
        <v>334585.69683322002</v>
      </c>
      <c r="G69" s="737">
        <v>0.54802508999999999</v>
      </c>
      <c r="H69" s="516">
        <v>16.240989800000001</v>
      </c>
      <c r="I69" s="497">
        <v>1.2560439999999999</v>
      </c>
      <c r="J69" s="529">
        <v>4.3461199999999998E-2</v>
      </c>
      <c r="K69" s="1133">
        <v>1.9761000000000001E-2</v>
      </c>
      <c r="L69" s="1134">
        <v>2.4600000000000002E-6</v>
      </c>
      <c r="M69" s="1208">
        <v>6.6</v>
      </c>
      <c r="N69" s="900">
        <v>336629.56702646997</v>
      </c>
      <c r="O69" s="281"/>
      <c r="P69" s="281"/>
    </row>
    <row r="70" spans="1:16" ht="13.75" customHeight="1" x14ac:dyDescent="0.15">
      <c r="A70" s="283"/>
      <c r="B70" s="1208">
        <v>6.7</v>
      </c>
      <c r="C70" s="724">
        <f t="shared" ref="C70:C103" si="1">C69+9.1788779</f>
        <v>1965.528029300006</v>
      </c>
      <c r="D70" s="447">
        <v>0.14762568000000001</v>
      </c>
      <c r="E70" s="846">
        <v>8.3514803700000009</v>
      </c>
      <c r="F70" s="536">
        <v>334830.43115939002</v>
      </c>
      <c r="G70" s="737">
        <v>0.55610345999999999</v>
      </c>
      <c r="H70" s="516">
        <v>16.372079299999999</v>
      </c>
      <c r="I70" s="497">
        <v>1.2633886999999999</v>
      </c>
      <c r="J70" s="529">
        <v>4.3625499999999998E-2</v>
      </c>
      <c r="K70" s="1133">
        <v>1.9795480000000001E-2</v>
      </c>
      <c r="L70" s="522">
        <v>2.48E-6</v>
      </c>
      <c r="M70" s="1208">
        <v>6.7</v>
      </c>
      <c r="N70" s="900">
        <v>336881.95423292997</v>
      </c>
      <c r="O70" s="281"/>
      <c r="P70" s="281"/>
    </row>
    <row r="71" spans="1:16" ht="14" customHeight="1" x14ac:dyDescent="0.15">
      <c r="A71" s="283"/>
      <c r="B71" s="1208">
        <v>6.8</v>
      </c>
      <c r="C71" s="724">
        <f t="shared" si="1"/>
        <v>1974.7069072000061</v>
      </c>
      <c r="D71" s="447">
        <v>0.14945671999999999</v>
      </c>
      <c r="E71" s="846">
        <v>8.4721204799999992</v>
      </c>
      <c r="F71" s="536">
        <v>335075.16548556002</v>
      </c>
      <c r="G71" s="737">
        <v>0.56418181999999995</v>
      </c>
      <c r="H71" s="516">
        <v>16.503168800000001</v>
      </c>
      <c r="I71" s="497">
        <v>1.2707333000000001</v>
      </c>
      <c r="J71" s="529">
        <v>4.3789799999999997E-2</v>
      </c>
      <c r="K71" s="1133">
        <v>1.9829960000000001E-2</v>
      </c>
      <c r="L71" s="1134">
        <v>2.5000000000000002E-6</v>
      </c>
      <c r="M71" s="1208">
        <v>6.8</v>
      </c>
      <c r="N71" s="900">
        <v>337134.34143938002</v>
      </c>
      <c r="O71" s="281"/>
      <c r="P71" s="281"/>
    </row>
    <row r="72" spans="1:16" ht="13.75" customHeight="1" x14ac:dyDescent="0.15">
      <c r="A72" s="283"/>
      <c r="B72" s="1208">
        <v>6.9</v>
      </c>
      <c r="C72" s="724">
        <f t="shared" si="1"/>
        <v>1983.8857851000062</v>
      </c>
      <c r="D72" s="447">
        <v>0.15128775999999999</v>
      </c>
      <c r="E72" s="846">
        <v>8.5927605899999993</v>
      </c>
      <c r="F72" s="536">
        <v>335319.89981173002</v>
      </c>
      <c r="G72" s="737">
        <v>0.57226018999999995</v>
      </c>
      <c r="H72" s="516">
        <v>16.634258299999999</v>
      </c>
      <c r="I72" s="497">
        <v>1.278078</v>
      </c>
      <c r="J72" s="529">
        <v>4.3954100000000003E-2</v>
      </c>
      <c r="K72" s="1133">
        <v>1.9864440000000001E-2</v>
      </c>
      <c r="L72" s="522">
        <v>2.5299999999999999E-6</v>
      </c>
      <c r="M72" s="1208">
        <v>6.9</v>
      </c>
      <c r="N72" s="900">
        <v>337386.72864584002</v>
      </c>
      <c r="O72" s="281"/>
      <c r="P72" s="281"/>
    </row>
    <row r="73" spans="1:16" ht="15" customHeight="1" x14ac:dyDescent="0.15">
      <c r="A73" s="283"/>
      <c r="B73" s="1199">
        <v>7</v>
      </c>
      <c r="C73" s="724">
        <f t="shared" si="1"/>
        <v>1993.0646630000062</v>
      </c>
      <c r="D73" s="1201">
        <v>0.1531188</v>
      </c>
      <c r="E73" s="1259">
        <v>8.7134006999999993</v>
      </c>
      <c r="F73" s="1202">
        <v>335564.63413790002</v>
      </c>
      <c r="G73" s="1203">
        <v>0.58033855000000001</v>
      </c>
      <c r="H73" s="1204">
        <v>16.765347800000001</v>
      </c>
      <c r="I73" s="1260">
        <v>1.2854227</v>
      </c>
      <c r="J73" s="1205">
        <v>4.4118400000000002E-2</v>
      </c>
      <c r="K73" s="1261">
        <v>1.9898929999999999E-2</v>
      </c>
      <c r="L73" s="1262">
        <v>2.5500000000000001E-6</v>
      </c>
      <c r="M73" s="1199">
        <v>7</v>
      </c>
      <c r="N73" s="900">
        <v>337639.11585229001</v>
      </c>
      <c r="O73" s="281"/>
      <c r="P73" s="281"/>
    </row>
    <row r="74" spans="1:16" ht="13.75" customHeight="1" x14ac:dyDescent="0.15">
      <c r="A74" s="283"/>
      <c r="B74" s="1208">
        <v>7.1</v>
      </c>
      <c r="C74" s="724">
        <f t="shared" si="1"/>
        <v>2002.2435409000063</v>
      </c>
      <c r="D74" s="447">
        <v>0.15494984000000001</v>
      </c>
      <c r="E74" s="846">
        <v>8.8340408099999994</v>
      </c>
      <c r="F74" s="536">
        <v>335809.36846407002</v>
      </c>
      <c r="G74" s="737">
        <v>0.58841692000000001</v>
      </c>
      <c r="H74" s="516">
        <v>16.896437299999999</v>
      </c>
      <c r="I74" s="497">
        <v>1.2927674</v>
      </c>
      <c r="J74" s="529">
        <v>4.4282700000000001E-2</v>
      </c>
      <c r="K74" s="1133">
        <v>1.9933409999999999E-2</v>
      </c>
      <c r="L74" s="522">
        <v>2.57E-6</v>
      </c>
      <c r="M74" s="1208">
        <v>7.1</v>
      </c>
      <c r="N74" s="900">
        <v>337891.50305875001</v>
      </c>
      <c r="O74" s="281"/>
      <c r="P74" s="281"/>
    </row>
    <row r="75" spans="1:16" ht="14" customHeight="1" x14ac:dyDescent="0.15">
      <c r="A75" s="283"/>
      <c r="B75" s="1208">
        <v>7.2</v>
      </c>
      <c r="C75" s="724">
        <f t="shared" si="1"/>
        <v>2011.4224188000064</v>
      </c>
      <c r="D75" s="447">
        <v>0.15678088000000001</v>
      </c>
      <c r="E75" s="846">
        <v>8.9546809199999995</v>
      </c>
      <c r="F75" s="536">
        <v>336054.10279024002</v>
      </c>
      <c r="G75" s="737">
        <v>0.59649527999999996</v>
      </c>
      <c r="H75" s="516">
        <v>17.0275268</v>
      </c>
      <c r="I75" s="497">
        <v>1.3001121</v>
      </c>
      <c r="J75" s="529">
        <v>4.4446899999999998E-2</v>
      </c>
      <c r="K75" s="1133">
        <v>1.9967889999999999E-2</v>
      </c>
      <c r="L75" s="1134">
        <v>2.5900000000000002E-6</v>
      </c>
      <c r="M75" s="1208">
        <v>7.2</v>
      </c>
      <c r="N75" s="900">
        <v>338143.89026521001</v>
      </c>
      <c r="O75" s="281"/>
      <c r="P75" s="281"/>
    </row>
    <row r="76" spans="1:16" ht="13.75" customHeight="1" x14ac:dyDescent="0.15">
      <c r="A76" s="283"/>
      <c r="B76" s="1208">
        <v>7.3</v>
      </c>
      <c r="C76" s="724">
        <f t="shared" si="1"/>
        <v>2020.6012967000065</v>
      </c>
      <c r="D76" s="447">
        <v>0.15861191999999999</v>
      </c>
      <c r="E76" s="846">
        <v>9.0753210299999996</v>
      </c>
      <c r="F76" s="536">
        <v>336298.83711641002</v>
      </c>
      <c r="G76" s="737">
        <v>0.60457364999999996</v>
      </c>
      <c r="H76" s="516">
        <v>17.158616299999998</v>
      </c>
      <c r="I76" s="497">
        <v>1.3074568</v>
      </c>
      <c r="J76" s="529">
        <v>4.4611199999999997E-2</v>
      </c>
      <c r="K76" s="1133">
        <v>2.0002369999999998E-2</v>
      </c>
      <c r="L76" s="522">
        <v>2.61E-6</v>
      </c>
      <c r="M76" s="1208">
        <v>7.3</v>
      </c>
      <c r="N76" s="900">
        <v>338396.27747166</v>
      </c>
      <c r="O76" s="281"/>
      <c r="P76" s="281"/>
    </row>
    <row r="77" spans="1:16" ht="14" customHeight="1" x14ac:dyDescent="0.15">
      <c r="A77" s="283"/>
      <c r="B77" s="1208">
        <v>7.4</v>
      </c>
      <c r="C77" s="724">
        <f t="shared" si="1"/>
        <v>2029.7801746000066</v>
      </c>
      <c r="D77" s="447">
        <v>0.16044296</v>
      </c>
      <c r="E77" s="846">
        <v>9.1959611399999996</v>
      </c>
      <c r="F77" s="536">
        <v>336543.57144258003</v>
      </c>
      <c r="G77" s="737">
        <v>0.61265201000000002</v>
      </c>
      <c r="H77" s="516">
        <v>17.2897058</v>
      </c>
      <c r="I77" s="497">
        <v>1.3148013999999999</v>
      </c>
      <c r="J77" s="529">
        <v>4.4775500000000003E-2</v>
      </c>
      <c r="K77" s="1133">
        <v>2.003686E-2</v>
      </c>
      <c r="L77" s="1134">
        <v>2.6299999999999998E-6</v>
      </c>
      <c r="M77" s="1208">
        <v>7.4</v>
      </c>
      <c r="N77" s="900">
        <v>338648.66467812</v>
      </c>
      <c r="O77" s="281"/>
      <c r="P77" s="281"/>
    </row>
    <row r="78" spans="1:16" ht="13.75" customHeight="1" x14ac:dyDescent="0.15">
      <c r="A78" s="283"/>
      <c r="B78" s="1208">
        <v>7.5</v>
      </c>
      <c r="C78" s="724">
        <f t="shared" si="1"/>
        <v>2038.9590525000067</v>
      </c>
      <c r="D78" s="447">
        <v>0.162274</v>
      </c>
      <c r="E78" s="846">
        <v>9.3166012499999997</v>
      </c>
      <c r="F78" s="536">
        <v>336788.30576875003</v>
      </c>
      <c r="G78" s="737">
        <v>0.62073038000000003</v>
      </c>
      <c r="H78" s="516">
        <v>17.420795300000002</v>
      </c>
      <c r="I78" s="497">
        <v>1.3221461000000001</v>
      </c>
      <c r="J78" s="529">
        <v>4.4939800000000002E-2</v>
      </c>
      <c r="K78" s="1133">
        <v>2.007134E-2</v>
      </c>
      <c r="L78" s="522">
        <v>2.6599999999999999E-6</v>
      </c>
      <c r="M78" s="1208">
        <v>7.5</v>
      </c>
      <c r="N78" s="900">
        <v>338901.05188456998</v>
      </c>
      <c r="O78" s="281"/>
      <c r="P78" s="281"/>
    </row>
    <row r="79" spans="1:16" ht="14" customHeight="1" x14ac:dyDescent="0.15">
      <c r="A79" s="283"/>
      <c r="B79" s="1208">
        <v>7.6</v>
      </c>
      <c r="C79" s="724">
        <f t="shared" si="1"/>
        <v>2048.1379304000066</v>
      </c>
      <c r="D79" s="447">
        <v>0.16410504000000001</v>
      </c>
      <c r="E79" s="846">
        <v>9.4372413599999998</v>
      </c>
      <c r="F79" s="536">
        <v>337033.04009492003</v>
      </c>
      <c r="G79" s="737">
        <v>0.62880873999999998</v>
      </c>
      <c r="H79" s="516">
        <v>17.5518848</v>
      </c>
      <c r="I79" s="497">
        <v>1.3294908000000001</v>
      </c>
      <c r="J79" s="529">
        <v>4.5104100000000001E-2</v>
      </c>
      <c r="K79" s="1133">
        <v>2.010582E-2</v>
      </c>
      <c r="L79" s="1134">
        <v>2.6800000000000002E-6</v>
      </c>
      <c r="M79" s="1208">
        <v>7.6</v>
      </c>
      <c r="N79" s="900">
        <v>339153.43909102998</v>
      </c>
      <c r="O79" s="281"/>
      <c r="P79" s="281"/>
    </row>
    <row r="80" spans="1:16" ht="13.75" customHeight="1" x14ac:dyDescent="0.15">
      <c r="A80" s="283"/>
      <c r="B80" s="1208">
        <v>7.7</v>
      </c>
      <c r="C80" s="724">
        <f t="shared" si="1"/>
        <v>2057.3168083000064</v>
      </c>
      <c r="D80" s="447">
        <v>0.16593608000000001</v>
      </c>
      <c r="E80" s="846">
        <v>9.5578814699999999</v>
      </c>
      <c r="F80" s="536">
        <v>337277.77442109003</v>
      </c>
      <c r="G80" s="737">
        <v>0.63688710999999998</v>
      </c>
      <c r="H80" s="516">
        <v>17.682974300000001</v>
      </c>
      <c r="I80" s="497">
        <v>1.3368355000000001</v>
      </c>
      <c r="J80" s="529">
        <v>4.52684E-2</v>
      </c>
      <c r="K80" s="1133">
        <v>2.01403E-2</v>
      </c>
      <c r="L80" s="522">
        <v>2.7E-6</v>
      </c>
      <c r="M80" s="1208">
        <v>7.7</v>
      </c>
      <c r="N80" s="900">
        <v>339405.82629748998</v>
      </c>
      <c r="O80" s="281"/>
      <c r="P80" s="281"/>
    </row>
    <row r="81" spans="1:16" ht="14" customHeight="1" x14ac:dyDescent="0.15">
      <c r="A81" s="283"/>
      <c r="B81" s="1208">
        <v>7.8</v>
      </c>
      <c r="C81" s="724">
        <f t="shared" si="1"/>
        <v>2066.4956862000063</v>
      </c>
      <c r="D81" s="447">
        <v>0.16776711999999999</v>
      </c>
      <c r="E81" s="846">
        <v>9.67852158</v>
      </c>
      <c r="F81" s="536">
        <v>337522.50874726003</v>
      </c>
      <c r="G81" s="737">
        <v>0.64496547000000004</v>
      </c>
      <c r="H81" s="516">
        <v>17.8140638</v>
      </c>
      <c r="I81" s="497">
        <v>1.3441802</v>
      </c>
      <c r="J81" s="529">
        <v>4.5432699999999999E-2</v>
      </c>
      <c r="K81" s="1133">
        <v>2.0174790000000001E-2</v>
      </c>
      <c r="L81" s="1134">
        <v>2.7199999999999998E-6</v>
      </c>
      <c r="M81" s="1208">
        <v>7.8</v>
      </c>
      <c r="N81" s="900">
        <v>339658.21350393997</v>
      </c>
      <c r="O81" s="281"/>
      <c r="P81" s="281"/>
    </row>
    <row r="82" spans="1:16" ht="13.75" customHeight="1" x14ac:dyDescent="0.15">
      <c r="A82" s="283"/>
      <c r="B82" s="1208">
        <v>7.9</v>
      </c>
      <c r="C82" s="724">
        <f t="shared" si="1"/>
        <v>2075.6745641000061</v>
      </c>
      <c r="D82" s="447">
        <v>0.16959816</v>
      </c>
      <c r="E82" s="846">
        <v>9.79916169</v>
      </c>
      <c r="F82" s="536">
        <v>337767.24307343003</v>
      </c>
      <c r="G82" s="737">
        <v>0.65304384000000004</v>
      </c>
      <c r="H82" s="516">
        <v>17.945153300000001</v>
      </c>
      <c r="I82" s="497">
        <v>1.3515249</v>
      </c>
      <c r="J82" s="529">
        <v>4.5596900000000003E-2</v>
      </c>
      <c r="K82" s="1133">
        <v>2.0209270000000001E-2</v>
      </c>
      <c r="L82" s="522">
        <v>2.74E-6</v>
      </c>
      <c r="M82" s="1208">
        <v>7.9</v>
      </c>
      <c r="N82" s="900">
        <v>339910.60071039997</v>
      </c>
      <c r="O82" s="281"/>
      <c r="P82" s="281"/>
    </row>
    <row r="83" spans="1:16" ht="15" customHeight="1" x14ac:dyDescent="0.15">
      <c r="A83" s="283"/>
      <c r="B83" s="1199">
        <v>8</v>
      </c>
      <c r="C83" s="724">
        <f t="shared" si="1"/>
        <v>2084.853442000006</v>
      </c>
      <c r="D83" s="1201">
        <v>0.1714292</v>
      </c>
      <c r="E83" s="1259">
        <v>9.9198018000000001</v>
      </c>
      <c r="F83" s="1202">
        <v>338011.97739959997</v>
      </c>
      <c r="G83" s="1203">
        <v>0.66112219999999999</v>
      </c>
      <c r="H83" s="1204">
        <v>18.076242799999999</v>
      </c>
      <c r="I83" s="1260">
        <v>1.3588695</v>
      </c>
      <c r="J83" s="1205">
        <v>4.5761200000000002E-2</v>
      </c>
      <c r="K83" s="1261">
        <v>2.0243750000000001E-2</v>
      </c>
      <c r="L83" s="1262">
        <v>2.7700000000000002E-6</v>
      </c>
      <c r="M83" s="1199">
        <v>8</v>
      </c>
      <c r="N83" s="900">
        <v>340162.98791685002</v>
      </c>
      <c r="O83" s="281"/>
      <c r="P83" s="281"/>
    </row>
    <row r="84" spans="1:16" ht="13.75" customHeight="1" x14ac:dyDescent="0.15">
      <c r="A84" s="283"/>
      <c r="B84" s="1208">
        <v>8.1</v>
      </c>
      <c r="C84" s="724">
        <f t="shared" si="1"/>
        <v>2094.0323199000059</v>
      </c>
      <c r="D84" s="447">
        <v>0.17326024000000001</v>
      </c>
      <c r="E84" s="846">
        <v>10.04044191</v>
      </c>
      <c r="F84" s="536">
        <v>338256.71172576997</v>
      </c>
      <c r="G84" s="737">
        <v>0.66920056999999999</v>
      </c>
      <c r="H84" s="516">
        <v>18.207332300000001</v>
      </c>
      <c r="I84" s="497">
        <v>1.3662141999999999</v>
      </c>
      <c r="J84" s="529">
        <v>4.5925500000000001E-2</v>
      </c>
      <c r="K84" s="1133">
        <v>2.0278230000000001E-2</v>
      </c>
      <c r="L84" s="522">
        <v>2.79E-6</v>
      </c>
      <c r="M84" s="1208">
        <v>8.1</v>
      </c>
      <c r="N84" s="900">
        <v>340415.37512331002</v>
      </c>
      <c r="O84" s="281"/>
      <c r="P84" s="281"/>
    </row>
    <row r="85" spans="1:16" ht="14" customHeight="1" x14ac:dyDescent="0.15">
      <c r="A85" s="283"/>
      <c r="B85" s="1208">
        <v>8.1999999999999993</v>
      </c>
      <c r="C85" s="724">
        <f t="shared" si="1"/>
        <v>2103.2111978000057</v>
      </c>
      <c r="D85" s="447">
        <v>0.17509127999999999</v>
      </c>
      <c r="E85" s="846">
        <v>10.16108202</v>
      </c>
      <c r="F85" s="536">
        <v>338501.44605193997</v>
      </c>
      <c r="G85" s="737">
        <v>0.67727892999999995</v>
      </c>
      <c r="H85" s="516">
        <v>18.338421799999999</v>
      </c>
      <c r="I85" s="497">
        <v>1.3735588999999999</v>
      </c>
      <c r="J85" s="529">
        <v>4.60898E-2</v>
      </c>
      <c r="K85" s="1133">
        <v>2.0312719999999999E-2</v>
      </c>
      <c r="L85" s="1134">
        <v>2.8100000000000002E-6</v>
      </c>
      <c r="M85" s="1208">
        <v>8.1999999999999993</v>
      </c>
      <c r="N85" s="900">
        <v>340667.76232977002</v>
      </c>
      <c r="O85" s="281"/>
      <c r="P85" s="281"/>
    </row>
    <row r="86" spans="1:16" ht="13.75" customHeight="1" x14ac:dyDescent="0.15">
      <c r="A86" s="283"/>
      <c r="B86" s="1208">
        <v>8.3000000000000007</v>
      </c>
      <c r="C86" s="724">
        <f t="shared" si="1"/>
        <v>2112.3900757000056</v>
      </c>
      <c r="D86" s="447">
        <v>0.17692231999999999</v>
      </c>
      <c r="E86" s="846">
        <v>10.28172213</v>
      </c>
      <c r="F86" s="536">
        <v>338746.18037810997</v>
      </c>
      <c r="G86" s="737">
        <v>0.68535729999999995</v>
      </c>
      <c r="H86" s="516">
        <v>18.469511300000001</v>
      </c>
      <c r="I86" s="497">
        <v>1.3809035999999999</v>
      </c>
      <c r="J86" s="529">
        <v>4.6254099999999999E-2</v>
      </c>
      <c r="K86" s="1133">
        <v>2.0347199999999999E-2</v>
      </c>
      <c r="L86" s="522">
        <v>2.83E-6</v>
      </c>
      <c r="M86" s="1208">
        <v>8.3000000000000007</v>
      </c>
      <c r="N86" s="900">
        <v>340920.14953622001</v>
      </c>
      <c r="O86" s="281"/>
      <c r="P86" s="281"/>
    </row>
    <row r="87" spans="1:16" ht="14" customHeight="1" x14ac:dyDescent="0.15">
      <c r="A87" s="283"/>
      <c r="B87" s="1208">
        <v>8.4</v>
      </c>
      <c r="C87" s="724">
        <f t="shared" si="1"/>
        <v>2121.5689536000054</v>
      </c>
      <c r="D87" s="447">
        <v>0.17875336</v>
      </c>
      <c r="E87" s="846">
        <v>10.40236224</v>
      </c>
      <c r="F87" s="536">
        <v>338990.91470427997</v>
      </c>
      <c r="G87" s="737">
        <v>0.69343566000000001</v>
      </c>
      <c r="H87" s="516">
        <v>18.600600799999999</v>
      </c>
      <c r="I87" s="497">
        <v>1.3882483000000001</v>
      </c>
      <c r="J87" s="529">
        <v>4.6418399999999999E-2</v>
      </c>
      <c r="K87" s="1133">
        <v>2.0381679999999999E-2</v>
      </c>
      <c r="L87" s="1134">
        <v>2.8499999999999998E-6</v>
      </c>
      <c r="M87" s="1208">
        <v>8.4</v>
      </c>
      <c r="N87" s="900">
        <v>341172.53674268001</v>
      </c>
      <c r="O87" s="281"/>
      <c r="P87" s="281"/>
    </row>
    <row r="88" spans="1:16" ht="13.75" customHeight="1" x14ac:dyDescent="0.15">
      <c r="A88" s="283"/>
      <c r="B88" s="1208">
        <v>8.5</v>
      </c>
      <c r="C88" s="724">
        <f t="shared" si="1"/>
        <v>2130.7478315000053</v>
      </c>
      <c r="D88" s="447">
        <v>0.18058440000000001</v>
      </c>
      <c r="E88" s="846">
        <v>10.523002350000001</v>
      </c>
      <c r="F88" s="536">
        <v>339235.64903044997</v>
      </c>
      <c r="G88" s="737">
        <v>0.70151403000000001</v>
      </c>
      <c r="H88" s="516">
        <v>18.7316903</v>
      </c>
      <c r="I88" s="497">
        <v>1.3955930000000001</v>
      </c>
      <c r="J88" s="529">
        <v>4.6582600000000002E-2</v>
      </c>
      <c r="K88" s="1133">
        <v>2.0416159999999999E-2</v>
      </c>
      <c r="L88" s="522">
        <v>2.8700000000000001E-6</v>
      </c>
      <c r="M88" s="1208">
        <v>8.5</v>
      </c>
      <c r="N88" s="900">
        <v>341424.92394913</v>
      </c>
      <c r="O88" s="281"/>
      <c r="P88" s="281"/>
    </row>
    <row r="89" spans="1:16" ht="14" customHeight="1" x14ac:dyDescent="0.15">
      <c r="A89" s="283"/>
      <c r="B89" s="1208">
        <v>8.6</v>
      </c>
      <c r="C89" s="724">
        <f t="shared" si="1"/>
        <v>2139.9267094000052</v>
      </c>
      <c r="D89" s="447">
        <v>0.18241544000000001</v>
      </c>
      <c r="E89" s="846">
        <v>10.643642460000001</v>
      </c>
      <c r="F89" s="536">
        <v>339480.38335661998</v>
      </c>
      <c r="G89" s="737">
        <v>0.70959238999999996</v>
      </c>
      <c r="H89" s="516">
        <v>18.862779799999998</v>
      </c>
      <c r="I89" s="497">
        <v>1.4029376</v>
      </c>
      <c r="J89" s="529">
        <v>4.6746900000000001E-2</v>
      </c>
      <c r="K89" s="1133">
        <v>2.0450650000000001E-2</v>
      </c>
      <c r="L89" s="1134">
        <v>2.9000000000000002E-6</v>
      </c>
      <c r="M89" s="1208">
        <v>8.6</v>
      </c>
      <c r="N89" s="900">
        <v>341677.31115559</v>
      </c>
      <c r="O89" s="281"/>
      <c r="P89" s="281"/>
    </row>
    <row r="90" spans="1:16" ht="13.75" customHeight="1" x14ac:dyDescent="0.15">
      <c r="A90" s="283"/>
      <c r="B90" s="1208">
        <v>8.6999999999999993</v>
      </c>
      <c r="C90" s="724">
        <f t="shared" si="1"/>
        <v>2149.105587300005</v>
      </c>
      <c r="D90" s="447">
        <v>0.18424647999999999</v>
      </c>
      <c r="E90" s="846">
        <v>10.764282570000001</v>
      </c>
      <c r="F90" s="536">
        <v>339725.11768278998</v>
      </c>
      <c r="G90" s="737">
        <v>0.71767075999999996</v>
      </c>
      <c r="H90" s="516">
        <v>18.9938693</v>
      </c>
      <c r="I90" s="497">
        <v>1.4102823</v>
      </c>
      <c r="J90" s="529">
        <v>4.69112E-2</v>
      </c>
      <c r="K90" s="1133">
        <v>2.0485130000000001E-2</v>
      </c>
      <c r="L90" s="522">
        <v>2.92E-6</v>
      </c>
      <c r="M90" s="1208">
        <v>8.6999999999999993</v>
      </c>
      <c r="N90" s="900">
        <v>341929.69836205</v>
      </c>
      <c r="O90" s="281"/>
      <c r="P90" s="281"/>
    </row>
    <row r="91" spans="1:16" ht="14" customHeight="1" x14ac:dyDescent="0.15">
      <c r="A91" s="283"/>
      <c r="B91" s="1208">
        <v>8.8000000000000007</v>
      </c>
      <c r="C91" s="724">
        <f t="shared" si="1"/>
        <v>2158.2844652000049</v>
      </c>
      <c r="D91" s="447">
        <v>0.18607752</v>
      </c>
      <c r="E91" s="846">
        <v>10.884922680000001</v>
      </c>
      <c r="F91" s="536">
        <v>339969.85200895998</v>
      </c>
      <c r="G91" s="737">
        <v>0.72574912000000003</v>
      </c>
      <c r="H91" s="516">
        <v>19.124958800000002</v>
      </c>
      <c r="I91" s="497">
        <v>1.417627</v>
      </c>
      <c r="J91" s="529">
        <v>4.7075499999999999E-2</v>
      </c>
      <c r="K91" s="1133">
        <v>2.0519610000000001E-2</v>
      </c>
      <c r="L91" s="1134">
        <v>2.9399999999999998E-6</v>
      </c>
      <c r="M91" s="1208">
        <v>8.8000000000000007</v>
      </c>
      <c r="N91" s="900">
        <v>342182.08556849998</v>
      </c>
      <c r="O91" s="281"/>
      <c r="P91" s="281"/>
    </row>
    <row r="92" spans="1:16" ht="13.75" customHeight="1" x14ac:dyDescent="0.15">
      <c r="A92" s="283"/>
      <c r="B92" s="1208">
        <v>8.9</v>
      </c>
      <c r="C92" s="724">
        <f t="shared" si="1"/>
        <v>2167.4633431000047</v>
      </c>
      <c r="D92" s="447">
        <v>0.18790856</v>
      </c>
      <c r="E92" s="846">
        <v>11.005562790000001</v>
      </c>
      <c r="F92" s="536">
        <v>340214.58633512998</v>
      </c>
      <c r="G92" s="737">
        <v>0.73382749000000003</v>
      </c>
      <c r="H92" s="516">
        <v>19.2560483</v>
      </c>
      <c r="I92" s="497">
        <v>1.4249717</v>
      </c>
      <c r="J92" s="529">
        <v>4.7239799999999998E-2</v>
      </c>
      <c r="K92" s="1133">
        <v>2.0554090000000001E-2</v>
      </c>
      <c r="L92" s="522">
        <v>2.96E-6</v>
      </c>
      <c r="M92" s="1208">
        <v>8.9</v>
      </c>
      <c r="N92" s="900">
        <v>342434.47277495998</v>
      </c>
      <c r="O92" s="281"/>
      <c r="P92" s="281"/>
    </row>
    <row r="93" spans="1:16" ht="15" customHeight="1" x14ac:dyDescent="0.15">
      <c r="A93" s="283"/>
      <c r="B93" s="1199">
        <v>9</v>
      </c>
      <c r="C93" s="724">
        <f t="shared" si="1"/>
        <v>2176.6422210000046</v>
      </c>
      <c r="D93" s="1201">
        <v>0.18973960000000001</v>
      </c>
      <c r="E93" s="1259">
        <v>11.126202899999999</v>
      </c>
      <c r="F93" s="1202">
        <v>340459.32066129998</v>
      </c>
      <c r="G93" s="1203">
        <v>0.74190584999999998</v>
      </c>
      <c r="H93" s="1204">
        <v>19.387137800000001</v>
      </c>
      <c r="I93" s="1260">
        <v>1.4323163999999999</v>
      </c>
      <c r="J93" s="1205">
        <v>4.7404099999999998E-2</v>
      </c>
      <c r="K93" s="1261">
        <v>2.0588579999999999E-2</v>
      </c>
      <c r="L93" s="1262">
        <v>2.9799999999999998E-6</v>
      </c>
      <c r="M93" s="1199">
        <v>9</v>
      </c>
      <c r="N93" s="900">
        <v>342686.85998140997</v>
      </c>
      <c r="O93" s="281"/>
      <c r="P93" s="281"/>
    </row>
    <row r="94" spans="1:16" ht="13.75" customHeight="1" x14ac:dyDescent="0.15">
      <c r="A94" s="283"/>
      <c r="B94" s="1208">
        <v>9.1</v>
      </c>
      <c r="C94" s="724">
        <f t="shared" si="1"/>
        <v>2185.8210989000045</v>
      </c>
      <c r="D94" s="447">
        <v>0.19157063999999999</v>
      </c>
      <c r="E94" s="846">
        <v>11.246843009999999</v>
      </c>
      <c r="F94" s="536">
        <v>340704.05498746998</v>
      </c>
      <c r="G94" s="737">
        <v>0.74998421999999998</v>
      </c>
      <c r="H94" s="516">
        <v>19.5182273</v>
      </c>
      <c r="I94" s="497">
        <v>1.4396610999999999</v>
      </c>
      <c r="J94" s="529">
        <v>4.7568300000000001E-2</v>
      </c>
      <c r="K94" s="1133">
        <v>2.0623059999999999E-2</v>
      </c>
      <c r="L94" s="522">
        <v>3.01E-6</v>
      </c>
      <c r="M94" s="1208">
        <v>9.1</v>
      </c>
      <c r="N94" s="900">
        <v>342939.24718786997</v>
      </c>
      <c r="O94" s="281"/>
      <c r="P94" s="281"/>
    </row>
    <row r="95" spans="1:16" ht="14" customHeight="1" x14ac:dyDescent="0.15">
      <c r="A95" s="283"/>
      <c r="B95" s="1208">
        <v>9.1999999999999993</v>
      </c>
      <c r="C95" s="724">
        <f t="shared" si="1"/>
        <v>2194.9999768000043</v>
      </c>
      <c r="D95" s="447">
        <v>0.19340167999999999</v>
      </c>
      <c r="E95" s="846">
        <v>11.367483119999999</v>
      </c>
      <c r="F95" s="536">
        <v>340948.78931363998</v>
      </c>
      <c r="G95" s="737">
        <v>0.75806258000000004</v>
      </c>
      <c r="H95" s="516">
        <v>19.649316800000001</v>
      </c>
      <c r="I95" s="497">
        <v>1.4470057000000001</v>
      </c>
      <c r="J95" s="529">
        <v>4.77326E-2</v>
      </c>
      <c r="K95" s="1133">
        <v>2.0657539999999999E-2</v>
      </c>
      <c r="L95" s="1134">
        <v>3.0299999999999998E-6</v>
      </c>
      <c r="M95" s="1208">
        <v>9.1999999999999993</v>
      </c>
      <c r="N95" s="900">
        <v>343191.63439432997</v>
      </c>
      <c r="O95" s="281"/>
      <c r="P95" s="281"/>
    </row>
    <row r="96" spans="1:16" ht="13.75" customHeight="1" x14ac:dyDescent="0.15">
      <c r="A96" s="283"/>
      <c r="B96" s="1208">
        <v>9.3000000000000007</v>
      </c>
      <c r="C96" s="724">
        <f t="shared" si="1"/>
        <v>2204.1788547000042</v>
      </c>
      <c r="D96" s="447">
        <v>0.19523272</v>
      </c>
      <c r="E96" s="846">
        <v>11.488123229999999</v>
      </c>
      <c r="F96" s="536">
        <v>341193.52363980998</v>
      </c>
      <c r="G96" s="737">
        <v>0.76614095000000004</v>
      </c>
      <c r="H96" s="516">
        <v>19.780406299999999</v>
      </c>
      <c r="I96" s="497">
        <v>1.4543504</v>
      </c>
      <c r="J96" s="529">
        <v>4.7896899999999999E-2</v>
      </c>
      <c r="K96" s="1133">
        <v>2.0692019999999998E-2</v>
      </c>
      <c r="L96" s="522">
        <v>3.05E-6</v>
      </c>
      <c r="M96" s="1208">
        <v>9.3000000000000007</v>
      </c>
      <c r="N96" s="900">
        <v>343444.02160078002</v>
      </c>
      <c r="O96" s="281"/>
      <c r="P96" s="281"/>
    </row>
    <row r="97" spans="1:16" ht="14" customHeight="1" x14ac:dyDescent="0.15">
      <c r="A97" s="283"/>
      <c r="B97" s="1208">
        <v>9.4</v>
      </c>
      <c r="C97" s="724">
        <f t="shared" si="1"/>
        <v>2213.3577326000041</v>
      </c>
      <c r="D97" s="447">
        <v>0.19706376</v>
      </c>
      <c r="E97" s="846">
        <v>11.608763339999999</v>
      </c>
      <c r="F97" s="536">
        <v>341438.25796597998</v>
      </c>
      <c r="G97" s="737">
        <v>0.77421930999999999</v>
      </c>
      <c r="H97" s="516">
        <v>19.911495800000001</v>
      </c>
      <c r="I97" s="497">
        <v>1.4616951</v>
      </c>
      <c r="J97" s="529">
        <v>4.8061199999999998E-2</v>
      </c>
      <c r="K97" s="1133">
        <v>2.072651E-2</v>
      </c>
      <c r="L97" s="1134">
        <v>3.0699999999999998E-6</v>
      </c>
      <c r="M97" s="1208">
        <v>9.4</v>
      </c>
      <c r="N97" s="900">
        <v>343696.40880724002</v>
      </c>
      <c r="O97" s="281"/>
      <c r="P97" s="281"/>
    </row>
    <row r="98" spans="1:16" ht="13.75" customHeight="1" x14ac:dyDescent="0.15">
      <c r="A98" s="283"/>
      <c r="B98" s="1208">
        <v>9.5</v>
      </c>
      <c r="C98" s="724">
        <f t="shared" si="1"/>
        <v>2222.5366105000039</v>
      </c>
      <c r="D98" s="447">
        <v>0.19889480000000001</v>
      </c>
      <c r="E98" s="846">
        <v>11.72940345</v>
      </c>
      <c r="F98" s="536">
        <v>341682.99229214998</v>
      </c>
      <c r="G98" s="737">
        <v>0.78229768</v>
      </c>
      <c r="H98" s="516">
        <v>20.042585299999999</v>
      </c>
      <c r="I98" s="497">
        <v>1.4690398</v>
      </c>
      <c r="J98" s="529">
        <v>4.8225499999999998E-2</v>
      </c>
      <c r="K98" s="1133">
        <v>2.076099E-2</v>
      </c>
      <c r="L98" s="522">
        <v>3.0900000000000001E-6</v>
      </c>
      <c r="M98" s="1208">
        <v>9.5</v>
      </c>
      <c r="N98" s="900">
        <v>343948.79601369001</v>
      </c>
      <c r="O98" s="281"/>
      <c r="P98" s="281"/>
    </row>
    <row r="99" spans="1:16" ht="14" customHeight="1" x14ac:dyDescent="0.15">
      <c r="A99" s="283"/>
      <c r="B99" s="1208">
        <v>9.6</v>
      </c>
      <c r="C99" s="724">
        <f t="shared" si="1"/>
        <v>2231.7154884000038</v>
      </c>
      <c r="D99" s="447">
        <v>0.20072583999999999</v>
      </c>
      <c r="E99" s="846">
        <v>11.85004356</v>
      </c>
      <c r="F99" s="536">
        <v>341927.72661831998</v>
      </c>
      <c r="G99" s="737">
        <v>0.79037603999999995</v>
      </c>
      <c r="H99" s="516">
        <v>20.173674800000001</v>
      </c>
      <c r="I99" s="497">
        <v>1.4763845</v>
      </c>
      <c r="J99" s="529">
        <v>4.8389799999999997E-2</v>
      </c>
      <c r="K99" s="1133">
        <v>2.079547E-2</v>
      </c>
      <c r="L99" s="1134">
        <v>3.1099999999999999E-6</v>
      </c>
      <c r="M99" s="1208">
        <v>9.6</v>
      </c>
      <c r="N99" s="900">
        <v>344201.18322015001</v>
      </c>
      <c r="O99" s="281"/>
      <c r="P99" s="281"/>
    </row>
    <row r="100" spans="1:16" ht="13.75" customHeight="1" x14ac:dyDescent="0.15">
      <c r="A100" s="283"/>
      <c r="B100" s="1208">
        <v>9.6999999999999993</v>
      </c>
      <c r="C100" s="724">
        <f t="shared" si="1"/>
        <v>2240.8943663000036</v>
      </c>
      <c r="D100" s="447">
        <v>0.20255687999999999</v>
      </c>
      <c r="E100" s="846">
        <v>11.97068367</v>
      </c>
      <c r="F100" s="536">
        <v>342172.46094448998</v>
      </c>
      <c r="G100" s="737">
        <v>0.79845440999999995</v>
      </c>
      <c r="H100" s="516">
        <v>20.304764299999999</v>
      </c>
      <c r="I100" s="497">
        <v>1.4837292</v>
      </c>
      <c r="J100" s="529">
        <v>4.8554E-2</v>
      </c>
      <c r="K100" s="1133">
        <v>2.082995E-2</v>
      </c>
      <c r="L100" s="522">
        <v>3.14E-6</v>
      </c>
      <c r="M100" s="1208">
        <v>9.6999999999999993</v>
      </c>
      <c r="N100" s="900">
        <v>344453.5704266</v>
      </c>
      <c r="O100" s="281"/>
      <c r="P100" s="281"/>
    </row>
    <row r="101" spans="1:16" ht="14" customHeight="1" x14ac:dyDescent="0.15">
      <c r="A101" s="283"/>
      <c r="B101" s="1208">
        <v>9.8000000000000007</v>
      </c>
      <c r="C101" s="724">
        <f t="shared" si="1"/>
        <v>2250.0732442000035</v>
      </c>
      <c r="D101" s="447">
        <v>0.20438792</v>
      </c>
      <c r="E101" s="846">
        <v>12.09132378</v>
      </c>
      <c r="F101" s="536">
        <v>342417.19527065998</v>
      </c>
      <c r="G101" s="737">
        <v>0.80653277000000001</v>
      </c>
      <c r="H101" s="516">
        <v>20.4358538</v>
      </c>
      <c r="I101" s="497">
        <v>1.4910737999999999</v>
      </c>
      <c r="J101" s="529">
        <v>4.8718299999999999E-2</v>
      </c>
      <c r="K101" s="1133">
        <v>2.0864440000000001E-2</v>
      </c>
      <c r="L101" s="1134">
        <v>3.1599999999999998E-6</v>
      </c>
      <c r="M101" s="1208">
        <v>9.8000000000000007</v>
      </c>
      <c r="N101" s="900">
        <v>344705.95763306</v>
      </c>
      <c r="O101" s="281"/>
      <c r="P101" s="281"/>
    </row>
    <row r="102" spans="1:16" ht="13.75" customHeight="1" x14ac:dyDescent="0.15">
      <c r="A102" s="283"/>
      <c r="B102" s="1208">
        <v>9.9</v>
      </c>
      <c r="C102" s="724">
        <f t="shared" si="1"/>
        <v>2259.2521221000034</v>
      </c>
      <c r="D102" s="447">
        <v>0.20621896000000001</v>
      </c>
      <c r="E102" s="846">
        <v>12.21196389</v>
      </c>
      <c r="F102" s="536">
        <v>342661.92959682998</v>
      </c>
      <c r="G102" s="737">
        <v>0.81461114000000001</v>
      </c>
      <c r="H102" s="516">
        <v>20.566943299999998</v>
      </c>
      <c r="I102" s="497">
        <v>1.4984185000000001</v>
      </c>
      <c r="J102" s="529">
        <v>4.8882599999999998E-2</v>
      </c>
      <c r="K102" s="1133">
        <v>2.0898920000000001E-2</v>
      </c>
      <c r="L102" s="522">
        <v>3.18E-6</v>
      </c>
      <c r="M102" s="1208">
        <v>9.9</v>
      </c>
      <c r="N102" s="900">
        <v>344958.34483952</v>
      </c>
      <c r="O102" s="281"/>
      <c r="P102" s="281"/>
    </row>
    <row r="103" spans="1:16" ht="15" customHeight="1" x14ac:dyDescent="0.15">
      <c r="A103" s="1212" t="s">
        <v>185</v>
      </c>
      <c r="B103" s="1199">
        <v>10</v>
      </c>
      <c r="C103" s="724">
        <f t="shared" si="1"/>
        <v>2268.4310000000032</v>
      </c>
      <c r="D103" s="1201">
        <v>0.20805000000000001</v>
      </c>
      <c r="E103" s="1259">
        <v>12.332604</v>
      </c>
      <c r="F103" s="1202">
        <v>342906.66392299999</v>
      </c>
      <c r="G103" s="1203">
        <v>0.82268949999999996</v>
      </c>
      <c r="H103" s="1204">
        <v>20.6980328</v>
      </c>
      <c r="I103" s="1260">
        <v>1.5057632000000001</v>
      </c>
      <c r="J103" s="1205">
        <v>4.9046899999999997E-2</v>
      </c>
      <c r="K103" s="1261">
        <v>2.0933400000000001E-2</v>
      </c>
      <c r="L103" s="1262">
        <v>3.1999999999999999E-6</v>
      </c>
      <c r="M103" s="1199">
        <v>10</v>
      </c>
      <c r="N103" s="900">
        <v>345210.73204596998</v>
      </c>
      <c r="O103" s="281"/>
      <c r="P103" s="281"/>
    </row>
    <row r="104" spans="1:16" ht="13.75" customHeight="1" x14ac:dyDescent="0.15">
      <c r="A104" s="283"/>
      <c r="B104" s="281"/>
      <c r="C104" s="281"/>
      <c r="D104" s="541"/>
      <c r="E104" s="512"/>
      <c r="F104" s="281"/>
      <c r="G104" s="22"/>
      <c r="H104" s="520"/>
      <c r="I104" s="407"/>
      <c r="J104" s="281"/>
      <c r="K104" s="281"/>
      <c r="L104" s="281"/>
      <c r="M104" s="281"/>
      <c r="N104" s="281"/>
      <c r="O104" s="281"/>
      <c r="P104" s="281"/>
    </row>
    <row r="105" spans="1:16" s="1615" customFormat="1" ht="33" customHeight="1" x14ac:dyDescent="0.15">
      <c r="A105" s="283"/>
      <c r="B105" s="281"/>
      <c r="C105" s="30" t="s">
        <v>9</v>
      </c>
      <c r="D105" s="31" t="s">
        <v>10</v>
      </c>
      <c r="E105" s="32" t="s">
        <v>11</v>
      </c>
      <c r="F105" s="908" t="s">
        <v>23</v>
      </c>
      <c r="G105" s="34" t="s">
        <v>13</v>
      </c>
      <c r="H105" s="909" t="s">
        <v>14</v>
      </c>
      <c r="I105" s="815" t="s">
        <v>15</v>
      </c>
      <c r="J105" s="37" t="s">
        <v>16</v>
      </c>
      <c r="K105" s="38" t="s">
        <v>17</v>
      </c>
      <c r="L105" s="39" t="s">
        <v>18</v>
      </c>
      <c r="M105" s="281"/>
      <c r="N105" s="281"/>
      <c r="O105" s="281"/>
      <c r="P105" s="281"/>
    </row>
    <row r="106" spans="1:16" s="1615" customFormat="1" ht="13" customHeight="1" x14ac:dyDescent="0.15">
      <c r="A106" s="1194"/>
      <c r="B106" s="1194"/>
      <c r="C106" s="1194"/>
      <c r="D106" s="1194"/>
      <c r="E106" s="1194"/>
      <c r="F106" s="1194"/>
      <c r="G106" s="1194"/>
      <c r="H106" s="1194"/>
      <c r="I106" s="1194"/>
      <c r="J106" s="1194"/>
      <c r="K106" s="1194"/>
      <c r="L106" s="1194"/>
      <c r="M106" s="1194"/>
      <c r="N106" s="1194"/>
      <c r="O106" s="1194"/>
      <c r="P106" s="1194"/>
    </row>
  </sheetData>
  <pageMargins left="0.74791700000000005" right="0.74791700000000005" top="0.98402800000000001" bottom="0.98402800000000001" header="0.49236099999999999" footer="0.49236099999999999"/>
  <pageSetup orientation="portrait"/>
  <headerFooter>
    <oddHeader>&amp;C&amp;"Arial,Regular"&amp;10&amp;K000000IGG</oddHeader>
    <oddFooter>&amp;C&amp;"Arial,Regular"&amp;10&amp;K000000Page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showGridLines="0" workbookViewId="0"/>
  </sheetViews>
  <sheetFormatPr baseColWidth="10" defaultColWidth="8.83203125" defaultRowHeight="13" customHeight="1" x14ac:dyDescent="0.15"/>
  <cols>
    <col min="1" max="1" width="10.6640625" style="1263" customWidth="1"/>
    <col min="2" max="2" width="11.1640625" style="1263" customWidth="1"/>
    <col min="3" max="3" width="12.83203125" style="1263" customWidth="1"/>
    <col min="4" max="6" width="11.1640625" style="1263" customWidth="1"/>
    <col min="7" max="7" width="14.33203125" style="1263" customWidth="1"/>
    <col min="8" max="8" width="12.1640625" style="1263" customWidth="1"/>
    <col min="9" max="10" width="14.33203125" style="1263" customWidth="1"/>
    <col min="11" max="11" width="11.1640625" style="1263" customWidth="1"/>
    <col min="12" max="12" width="12.1640625" style="1263" customWidth="1"/>
    <col min="13" max="13" width="12.6640625" style="1263" customWidth="1"/>
    <col min="14" max="256" width="8.83203125" customWidth="1"/>
  </cols>
  <sheetData>
    <row r="1" spans="1:13" ht="14" customHeight="1" x14ac:dyDescent="0.15">
      <c r="A1" s="1264"/>
      <c r="B1" s="27"/>
      <c r="C1" s="1265"/>
      <c r="D1" s="1265"/>
      <c r="E1" s="27"/>
      <c r="F1" s="27"/>
      <c r="G1" s="27"/>
      <c r="H1" s="27"/>
      <c r="I1" s="27"/>
      <c r="J1" s="27"/>
      <c r="K1" s="27"/>
      <c r="L1" s="27"/>
      <c r="M1" s="28"/>
    </row>
    <row r="2" spans="1:13" ht="33" customHeight="1" x14ac:dyDescent="0.15">
      <c r="A2" s="1266" t="s">
        <v>331</v>
      </c>
      <c r="B2" s="30" t="s">
        <v>9</v>
      </c>
      <c r="C2" s="31" t="s">
        <v>10</v>
      </c>
      <c r="D2" s="32" t="s">
        <v>11</v>
      </c>
      <c r="E2" s="814" t="s">
        <v>12</v>
      </c>
      <c r="F2" s="34" t="s">
        <v>13</v>
      </c>
      <c r="G2" s="909" t="s">
        <v>14</v>
      </c>
      <c r="H2" s="815" t="s">
        <v>15</v>
      </c>
      <c r="I2" s="37" t="s">
        <v>16</v>
      </c>
      <c r="J2" s="38" t="s">
        <v>17</v>
      </c>
      <c r="K2" s="39" t="s">
        <v>18</v>
      </c>
      <c r="L2" s="1267" t="s">
        <v>350</v>
      </c>
      <c r="M2" s="1268" t="s">
        <v>331</v>
      </c>
    </row>
    <row r="3" spans="1:13" ht="13.75" customHeight="1" x14ac:dyDescent="0.15">
      <c r="A3" s="1269"/>
      <c r="B3" s="40"/>
      <c r="C3" s="40"/>
      <c r="D3" s="40"/>
      <c r="E3" s="40"/>
      <c r="F3" s="1270"/>
      <c r="G3" s="1271"/>
      <c r="H3" s="1272"/>
      <c r="I3" s="40"/>
      <c r="J3" s="1273"/>
      <c r="K3" s="40"/>
      <c r="L3" s="40"/>
      <c r="M3" s="1274"/>
    </row>
    <row r="4" spans="1:13" ht="14" customHeight="1" x14ac:dyDescent="0.15">
      <c r="A4" s="1275">
        <v>0</v>
      </c>
      <c r="B4" s="1276">
        <v>0.91666669999999995</v>
      </c>
      <c r="C4" s="1277">
        <v>2.7333333</v>
      </c>
      <c r="D4" s="1278">
        <v>1.5666667000000001</v>
      </c>
      <c r="E4" s="1279">
        <v>0.92</v>
      </c>
      <c r="F4" s="1280">
        <v>0.43666670000000002</v>
      </c>
      <c r="G4" s="1281">
        <v>7.22222E-2</v>
      </c>
      <c r="H4" s="1282">
        <v>0.03</v>
      </c>
      <c r="I4" s="1283">
        <v>9.7222000000000003E-3</v>
      </c>
      <c r="J4" s="1284">
        <v>5.5555999999999999E-3</v>
      </c>
      <c r="K4" s="1285">
        <v>1.9444E-3</v>
      </c>
      <c r="L4" s="1286">
        <f>B4+C4+D4+E4+F4+G4+H4+I4+J4+K4</f>
        <v>6.6927778</v>
      </c>
      <c r="M4" s="1287">
        <v>0</v>
      </c>
    </row>
    <row r="5" spans="1:13" ht="14" customHeight="1" x14ac:dyDescent="0.15">
      <c r="A5" s="1288">
        <v>0.1</v>
      </c>
      <c r="B5" s="1289">
        <v>0.91800000000000004</v>
      </c>
      <c r="C5" s="1290">
        <v>2.7693333</v>
      </c>
      <c r="D5" s="1291">
        <v>1.5673333</v>
      </c>
      <c r="E5" s="1292">
        <v>0.92101109999999997</v>
      </c>
      <c r="F5" s="1293">
        <v>0.43864999999999998</v>
      </c>
      <c r="G5" s="1294">
        <v>7.2480600000000006E-2</v>
      </c>
      <c r="H5" s="1295">
        <v>3.0077799999999998E-2</v>
      </c>
      <c r="I5" s="1283">
        <v>9.7611E-3</v>
      </c>
      <c r="J5" s="1296">
        <v>5.5639000000000001E-3</v>
      </c>
      <c r="K5" s="1297">
        <v>1.9972000000000002E-3</v>
      </c>
      <c r="L5" s="1298">
        <v>6.7342084</v>
      </c>
      <c r="M5" s="1299">
        <v>0.1</v>
      </c>
    </row>
    <row r="6" spans="1:13" ht="14" customHeight="1" x14ac:dyDescent="0.15">
      <c r="A6" s="1288">
        <v>0.2</v>
      </c>
      <c r="B6" s="1289">
        <v>0.91933330000000002</v>
      </c>
      <c r="C6" s="1300">
        <v>2.8053333</v>
      </c>
      <c r="D6" s="1301">
        <v>1.5680000000000001</v>
      </c>
      <c r="E6" s="1292">
        <v>0.92202220000000001</v>
      </c>
      <c r="F6" s="1302">
        <v>0.44063330000000001</v>
      </c>
      <c r="G6" s="1294">
        <v>7.2738899999999995E-2</v>
      </c>
      <c r="H6" s="1295">
        <v>3.0155600000000001E-2</v>
      </c>
      <c r="I6" s="1283">
        <v>9.7999999999999997E-3</v>
      </c>
      <c r="J6" s="1296">
        <v>5.5722000000000002E-3</v>
      </c>
      <c r="K6" s="1297">
        <v>2.0500000000000002E-3</v>
      </c>
      <c r="L6" s="1298">
        <v>6.7756388999999997</v>
      </c>
      <c r="M6" s="1299">
        <v>0.2</v>
      </c>
    </row>
    <row r="7" spans="1:13" ht="14" customHeight="1" x14ac:dyDescent="0.15">
      <c r="A7" s="1288">
        <v>0.3</v>
      </c>
      <c r="B7" s="1289">
        <v>0.92066669999999995</v>
      </c>
      <c r="C7" s="1290">
        <v>2.8413333000000001</v>
      </c>
      <c r="D7" s="1291">
        <v>1.5686667000000001</v>
      </c>
      <c r="E7" s="1292">
        <v>0.92303329999999995</v>
      </c>
      <c r="F7" s="1293">
        <v>0.44261669999999997</v>
      </c>
      <c r="G7" s="1294">
        <v>7.2997199999999998E-2</v>
      </c>
      <c r="H7" s="1295">
        <v>3.0233400000000001E-2</v>
      </c>
      <c r="I7" s="1283">
        <v>9.8388999999999994E-3</v>
      </c>
      <c r="J7" s="1296">
        <v>5.5805999999999998E-3</v>
      </c>
      <c r="K7" s="1297">
        <v>2.1028000000000002E-3</v>
      </c>
      <c r="L7" s="1298">
        <v>6.8170694999999997</v>
      </c>
      <c r="M7" s="1299">
        <v>0.3</v>
      </c>
    </row>
    <row r="8" spans="1:13" ht="14" customHeight="1" x14ac:dyDescent="0.15">
      <c r="A8" s="1288">
        <v>0.4</v>
      </c>
      <c r="B8" s="1289">
        <v>0.92200000000000004</v>
      </c>
      <c r="C8" s="1300">
        <v>2.8773333000000001</v>
      </c>
      <c r="D8" s="1301">
        <v>1.5693333</v>
      </c>
      <c r="E8" s="1292">
        <v>0.92404439999999999</v>
      </c>
      <c r="F8" s="1302">
        <v>0.4446</v>
      </c>
      <c r="G8" s="1294">
        <v>7.3255600000000004E-2</v>
      </c>
      <c r="H8" s="1295">
        <v>3.03112E-2</v>
      </c>
      <c r="I8" s="1283">
        <v>9.8778000000000008E-3</v>
      </c>
      <c r="J8" s="1296">
        <v>5.5888999999999999E-3</v>
      </c>
      <c r="K8" s="1297">
        <v>2.1556000000000001E-3</v>
      </c>
      <c r="L8" s="1298">
        <v>6.8585000999999997</v>
      </c>
      <c r="M8" s="1299">
        <v>0.4</v>
      </c>
    </row>
    <row r="9" spans="1:13" ht="14" customHeight="1" x14ac:dyDescent="0.15">
      <c r="A9" s="1288">
        <v>0.5</v>
      </c>
      <c r="B9" s="1289">
        <v>0.92333330000000002</v>
      </c>
      <c r="C9" s="1290">
        <v>2.9133333000000001</v>
      </c>
      <c r="D9" s="1291">
        <v>1.57</v>
      </c>
      <c r="E9" s="1292">
        <v>0.92505550000000003</v>
      </c>
      <c r="F9" s="1293">
        <v>0.44658330000000002</v>
      </c>
      <c r="G9" s="1294">
        <v>7.3513899999999993E-2</v>
      </c>
      <c r="H9" s="1295">
        <v>3.0388999999999999E-2</v>
      </c>
      <c r="I9" s="1283">
        <v>9.9167000000000005E-3</v>
      </c>
      <c r="J9" s="1296">
        <v>5.5972000000000001E-3</v>
      </c>
      <c r="K9" s="1297">
        <v>2.2082999999999998E-3</v>
      </c>
      <c r="L9" s="1298">
        <v>6.8999306000000002</v>
      </c>
      <c r="M9" s="1299">
        <v>0.5</v>
      </c>
    </row>
    <row r="10" spans="1:13" ht="14" customHeight="1" x14ac:dyDescent="0.15">
      <c r="A10" s="1288">
        <v>0.6</v>
      </c>
      <c r="B10" s="1289">
        <v>0.92466669999999995</v>
      </c>
      <c r="C10" s="1300">
        <v>2.9493333000000002</v>
      </c>
      <c r="D10" s="1301">
        <v>1.5706667000000001</v>
      </c>
      <c r="E10" s="1292">
        <v>0.92606659999999996</v>
      </c>
      <c r="F10" s="1302">
        <v>0.44856669999999998</v>
      </c>
      <c r="G10" s="1294">
        <v>7.3772199999999996E-2</v>
      </c>
      <c r="H10" s="1295">
        <v>3.0466799999999999E-2</v>
      </c>
      <c r="I10" s="1283">
        <v>9.9556000000000002E-3</v>
      </c>
      <c r="J10" s="1296">
        <v>5.6055999999999996E-3</v>
      </c>
      <c r="K10" s="1297">
        <v>2.2610999999999998E-3</v>
      </c>
      <c r="L10" s="1298">
        <v>6.9413612000000002</v>
      </c>
      <c r="M10" s="1299">
        <v>0.6</v>
      </c>
    </row>
    <row r="11" spans="1:13" ht="14" customHeight="1" x14ac:dyDescent="0.15">
      <c r="A11" s="1288">
        <v>0.7</v>
      </c>
      <c r="B11" s="1289">
        <v>0.92600000000000005</v>
      </c>
      <c r="C11" s="1290">
        <v>2.9853333000000002</v>
      </c>
      <c r="D11" s="1291">
        <v>1.5713333</v>
      </c>
      <c r="E11" s="1292">
        <v>0.9270777</v>
      </c>
      <c r="F11" s="1293">
        <v>0.45055000000000001</v>
      </c>
      <c r="G11" s="1294">
        <v>7.4030600000000002E-2</v>
      </c>
      <c r="H11" s="1295">
        <v>3.0544600000000002E-2</v>
      </c>
      <c r="I11" s="1283">
        <v>9.9944000000000005E-3</v>
      </c>
      <c r="J11" s="1296">
        <v>5.6138999999999998E-3</v>
      </c>
      <c r="K11" s="1297">
        <v>2.3138999999999998E-3</v>
      </c>
      <c r="L11" s="1298">
        <v>6.9827918000000002</v>
      </c>
      <c r="M11" s="1299">
        <v>0.7</v>
      </c>
    </row>
    <row r="12" spans="1:13" ht="14" customHeight="1" x14ac:dyDescent="0.15">
      <c r="A12" s="1288">
        <v>0.8</v>
      </c>
      <c r="B12" s="1289">
        <v>0.92733330000000003</v>
      </c>
      <c r="C12" s="1300">
        <v>3.0213333000000002</v>
      </c>
      <c r="D12" s="1301">
        <v>1.5720000000000001</v>
      </c>
      <c r="E12" s="1292">
        <v>0.92808880000000005</v>
      </c>
      <c r="F12" s="1302">
        <v>0.45253330000000003</v>
      </c>
      <c r="G12" s="1294">
        <v>7.4288900000000005E-2</v>
      </c>
      <c r="H12" s="1295">
        <v>3.0622400000000001E-2</v>
      </c>
      <c r="I12" s="1283">
        <v>1.00333E-2</v>
      </c>
      <c r="J12" s="1296">
        <v>5.6221999999999999E-3</v>
      </c>
      <c r="K12" s="1297">
        <v>2.3666999999999998E-3</v>
      </c>
      <c r="L12" s="1298">
        <v>7.0242222999999999</v>
      </c>
      <c r="M12" s="1299">
        <v>0.8</v>
      </c>
    </row>
    <row r="13" spans="1:13" ht="14" customHeight="1" x14ac:dyDescent="0.15">
      <c r="A13" s="1288">
        <v>0.9</v>
      </c>
      <c r="B13" s="1289">
        <v>0.92866669999999996</v>
      </c>
      <c r="C13" s="1290">
        <v>3.0573332999999998</v>
      </c>
      <c r="D13" s="1291">
        <v>1.5726667000000001</v>
      </c>
      <c r="E13" s="1292">
        <v>0.92909989999999998</v>
      </c>
      <c r="F13" s="1293">
        <v>0.4545167</v>
      </c>
      <c r="G13" s="1294">
        <v>7.4547199999999994E-2</v>
      </c>
      <c r="H13" s="1295">
        <v>3.07002E-2</v>
      </c>
      <c r="I13" s="1283">
        <v>1.00722E-2</v>
      </c>
      <c r="J13" s="1296">
        <v>5.6306000000000004E-3</v>
      </c>
      <c r="K13" s="1297">
        <v>2.4193999999999999E-3</v>
      </c>
      <c r="L13" s="1298">
        <v>7.0656528999999999</v>
      </c>
      <c r="M13" s="1299">
        <v>0.9</v>
      </c>
    </row>
    <row r="14" spans="1:13" ht="14" customHeight="1" x14ac:dyDescent="0.15">
      <c r="A14" s="1275">
        <v>1</v>
      </c>
      <c r="B14" s="1289">
        <v>0.93</v>
      </c>
      <c r="C14" s="1300">
        <v>3.0933332999999998</v>
      </c>
      <c r="D14" s="1301">
        <v>1.5733333</v>
      </c>
      <c r="E14" s="1292">
        <v>0.93011100000000002</v>
      </c>
      <c r="F14" s="1302">
        <v>0.45650000000000002</v>
      </c>
      <c r="G14" s="1294">
        <v>7.48056E-2</v>
      </c>
      <c r="H14" s="1295">
        <v>3.0778E-2</v>
      </c>
      <c r="I14" s="1283">
        <v>1.01111E-2</v>
      </c>
      <c r="J14" s="1296">
        <v>5.6388999999999996E-3</v>
      </c>
      <c r="K14" s="1297">
        <v>2.4721999999999999E-3</v>
      </c>
      <c r="L14" s="1298">
        <v>7.1070834999999999</v>
      </c>
      <c r="M14" s="1287">
        <v>1</v>
      </c>
    </row>
    <row r="15" spans="1:13" ht="14" customHeight="1" x14ac:dyDescent="0.15">
      <c r="A15" s="1288">
        <v>1.1000000000000001</v>
      </c>
      <c r="B15" s="1289">
        <v>0.93133330000000003</v>
      </c>
      <c r="C15" s="1290">
        <v>3.1293332999999999</v>
      </c>
      <c r="D15" s="1291">
        <v>1.5740000000000001</v>
      </c>
      <c r="E15" s="1292">
        <v>0.93112209999999995</v>
      </c>
      <c r="F15" s="1293">
        <v>0.45848329999999998</v>
      </c>
      <c r="G15" s="1294">
        <v>7.5063900000000003E-2</v>
      </c>
      <c r="H15" s="1295">
        <v>3.0855799999999999E-2</v>
      </c>
      <c r="I15" s="1283">
        <v>1.0149999999999999E-2</v>
      </c>
      <c r="J15" s="1296">
        <v>5.6471999999999998E-3</v>
      </c>
      <c r="K15" s="1297">
        <v>2.5249999999999999E-3</v>
      </c>
      <c r="L15" s="1298">
        <v>7.1485139999999996</v>
      </c>
      <c r="M15" s="1299">
        <v>1.1000000000000001</v>
      </c>
    </row>
    <row r="16" spans="1:13" ht="14" customHeight="1" x14ac:dyDescent="0.15">
      <c r="A16" s="1288">
        <v>1.2</v>
      </c>
      <c r="B16" s="1289">
        <v>0.93266669999999996</v>
      </c>
      <c r="C16" s="1300">
        <v>3.1653332999999999</v>
      </c>
      <c r="D16" s="1301">
        <v>1.5746667000000001</v>
      </c>
      <c r="E16" s="1292">
        <v>0.9321332</v>
      </c>
      <c r="F16" s="1302">
        <v>0.46046670000000001</v>
      </c>
      <c r="G16" s="1294">
        <v>7.5322200000000006E-2</v>
      </c>
      <c r="H16" s="1295">
        <v>3.0933599999999999E-2</v>
      </c>
      <c r="I16" s="1283">
        <v>1.0188900000000001E-2</v>
      </c>
      <c r="J16" s="1296">
        <v>5.6556000000000002E-3</v>
      </c>
      <c r="K16" s="1297">
        <v>2.5777999999999999E-3</v>
      </c>
      <c r="L16" s="1298">
        <v>7.1899445999999996</v>
      </c>
      <c r="M16" s="1299">
        <v>1.2</v>
      </c>
    </row>
    <row r="17" spans="1:13" ht="14" customHeight="1" x14ac:dyDescent="0.15">
      <c r="A17" s="1288">
        <v>1.3</v>
      </c>
      <c r="B17" s="1289">
        <v>0.93400000000000005</v>
      </c>
      <c r="C17" s="1290">
        <v>3.2013332999999999</v>
      </c>
      <c r="D17" s="1291">
        <v>1.5753333</v>
      </c>
      <c r="E17" s="1292">
        <v>0.93314430000000004</v>
      </c>
      <c r="F17" s="1293">
        <v>0.46245000000000003</v>
      </c>
      <c r="G17" s="1294">
        <v>7.5580599999999998E-2</v>
      </c>
      <c r="H17" s="1295">
        <v>3.1011400000000001E-2</v>
      </c>
      <c r="I17" s="1283">
        <v>1.02278E-2</v>
      </c>
      <c r="J17" s="1296">
        <v>5.6639000000000004E-3</v>
      </c>
      <c r="K17" s="1297">
        <v>2.6305999999999999E-3</v>
      </c>
      <c r="L17" s="1298">
        <v>7.2313751999999996</v>
      </c>
      <c r="M17" s="1299">
        <v>1.3</v>
      </c>
    </row>
    <row r="18" spans="1:13" ht="14" customHeight="1" x14ac:dyDescent="0.15">
      <c r="A18" s="1288">
        <v>1.4</v>
      </c>
      <c r="B18" s="1289">
        <v>0.93533330000000003</v>
      </c>
      <c r="C18" s="1300">
        <v>3.2373333</v>
      </c>
      <c r="D18" s="1301">
        <v>1.5760000000000001</v>
      </c>
      <c r="E18" s="1292">
        <v>0.93415539999999997</v>
      </c>
      <c r="F18" s="1302">
        <v>0.46443329999999999</v>
      </c>
      <c r="G18" s="1294">
        <v>7.5838900000000001E-2</v>
      </c>
      <c r="H18" s="1295">
        <v>3.1089200000000001E-2</v>
      </c>
      <c r="I18" s="1283">
        <v>1.02667E-2</v>
      </c>
      <c r="J18" s="1296">
        <v>5.6721999999999996E-3</v>
      </c>
      <c r="K18" s="1297">
        <v>2.6833E-3</v>
      </c>
      <c r="L18" s="1298">
        <v>7.2728057000000002</v>
      </c>
      <c r="M18" s="1299">
        <v>1.4</v>
      </c>
    </row>
    <row r="19" spans="1:13" ht="14" customHeight="1" x14ac:dyDescent="0.15">
      <c r="A19" s="1288">
        <v>1.5</v>
      </c>
      <c r="B19" s="1289">
        <v>0.93666669999999996</v>
      </c>
      <c r="C19" s="1290">
        <v>3.2733333</v>
      </c>
      <c r="D19" s="1291">
        <v>1.5766667000000001</v>
      </c>
      <c r="E19" s="1292">
        <v>0.93516650000000001</v>
      </c>
      <c r="F19" s="1293">
        <v>0.46641670000000002</v>
      </c>
      <c r="G19" s="1294">
        <v>7.6097200000000004E-2</v>
      </c>
      <c r="H19" s="1295">
        <v>3.1167E-2</v>
      </c>
      <c r="I19" s="1283">
        <v>1.03056E-2</v>
      </c>
      <c r="J19" s="1296">
        <v>5.6806000000000001E-3</v>
      </c>
      <c r="K19" s="1297">
        <v>2.7361E-3</v>
      </c>
      <c r="L19" s="1298">
        <v>7.3142363000000001</v>
      </c>
      <c r="M19" s="1299">
        <v>1.5</v>
      </c>
    </row>
    <row r="20" spans="1:13" ht="14" customHeight="1" x14ac:dyDescent="0.15">
      <c r="A20" s="1288">
        <v>1.6</v>
      </c>
      <c r="B20" s="1289">
        <v>0.93799999999999994</v>
      </c>
      <c r="C20" s="1300">
        <v>3.3093333</v>
      </c>
      <c r="D20" s="1301">
        <v>1.5773333</v>
      </c>
      <c r="E20" s="1292">
        <v>0.93617760000000005</v>
      </c>
      <c r="F20" s="1302">
        <v>0.46839999999999998</v>
      </c>
      <c r="G20" s="1294">
        <v>7.6355599999999996E-2</v>
      </c>
      <c r="H20" s="1295">
        <v>3.12448E-2</v>
      </c>
      <c r="I20" s="1283">
        <v>1.03444E-2</v>
      </c>
      <c r="J20" s="1296">
        <v>5.6889000000000002E-3</v>
      </c>
      <c r="K20" s="1297">
        <v>2.7889E-3</v>
      </c>
      <c r="L20" s="1298">
        <v>7.3556669000000001</v>
      </c>
      <c r="M20" s="1299">
        <v>1.6</v>
      </c>
    </row>
    <row r="21" spans="1:13" ht="14" customHeight="1" x14ac:dyDescent="0.15">
      <c r="A21" s="1288">
        <v>1.7</v>
      </c>
      <c r="B21" s="1289">
        <v>0.93933330000000004</v>
      </c>
      <c r="C21" s="1290">
        <v>3.3453333000000001</v>
      </c>
      <c r="D21" s="1291">
        <v>1.5780000000000001</v>
      </c>
      <c r="E21" s="1292">
        <v>0.93718869999999999</v>
      </c>
      <c r="F21" s="1293">
        <v>0.4703833</v>
      </c>
      <c r="G21" s="1294">
        <v>7.6613899999999999E-2</v>
      </c>
      <c r="H21" s="1295">
        <v>3.1322599999999999E-2</v>
      </c>
      <c r="I21" s="1283">
        <v>1.03833E-2</v>
      </c>
      <c r="J21" s="1296">
        <v>5.6972000000000004E-3</v>
      </c>
      <c r="K21" s="1297">
        <v>2.8417E-3</v>
      </c>
      <c r="L21" s="1298">
        <v>7.3970973999999998</v>
      </c>
      <c r="M21" s="1299">
        <v>1.7</v>
      </c>
    </row>
    <row r="22" spans="1:13" ht="14" customHeight="1" x14ac:dyDescent="0.15">
      <c r="A22" s="1288">
        <v>1.8</v>
      </c>
      <c r="B22" s="1289">
        <v>0.94066669999999997</v>
      </c>
      <c r="C22" s="1300">
        <v>3.3813333000000001</v>
      </c>
      <c r="D22" s="1301">
        <v>1.5786667000000001</v>
      </c>
      <c r="E22" s="1292">
        <v>0.93819980000000003</v>
      </c>
      <c r="F22" s="1302">
        <v>0.47236669999999997</v>
      </c>
      <c r="G22" s="1294">
        <v>7.6872200000000002E-2</v>
      </c>
      <c r="H22" s="1295">
        <v>3.1400400000000002E-2</v>
      </c>
      <c r="I22" s="1283">
        <v>1.04222E-2</v>
      </c>
      <c r="J22" s="1296">
        <v>5.7055999999999999E-3</v>
      </c>
      <c r="K22" s="1297">
        <v>2.8944000000000001E-3</v>
      </c>
      <c r="L22" s="1298">
        <v>7.4385279999999998</v>
      </c>
      <c r="M22" s="1299">
        <v>1.8</v>
      </c>
    </row>
    <row r="23" spans="1:13" ht="14" customHeight="1" x14ac:dyDescent="0.15">
      <c r="A23" s="1288">
        <v>1.9</v>
      </c>
      <c r="B23" s="1289">
        <v>0.94199999999999995</v>
      </c>
      <c r="C23" s="1290">
        <v>3.4173333000000001</v>
      </c>
      <c r="D23" s="1291">
        <v>1.5793333000000001</v>
      </c>
      <c r="E23" s="1292">
        <v>0.93921089999999996</v>
      </c>
      <c r="F23" s="1293">
        <v>0.47434999999999999</v>
      </c>
      <c r="G23" s="1294">
        <v>7.7130599999999994E-2</v>
      </c>
      <c r="H23" s="1295">
        <v>3.1478199999999998E-2</v>
      </c>
      <c r="I23" s="1283">
        <v>1.0461099999999999E-2</v>
      </c>
      <c r="J23" s="1296">
        <v>5.7139000000000001E-3</v>
      </c>
      <c r="K23" s="1297">
        <v>2.9472000000000001E-3</v>
      </c>
      <c r="L23" s="1298">
        <v>7.4799585999999998</v>
      </c>
      <c r="M23" s="1299">
        <v>1.9</v>
      </c>
    </row>
    <row r="24" spans="1:13" ht="14" customHeight="1" x14ac:dyDescent="0.15">
      <c r="A24" s="1275">
        <v>2</v>
      </c>
      <c r="B24" s="1289">
        <v>0.94333330000000004</v>
      </c>
      <c r="C24" s="1300">
        <v>3.4533333000000002</v>
      </c>
      <c r="D24" s="1301">
        <v>1.58</v>
      </c>
      <c r="E24" s="1292">
        <v>0.940222</v>
      </c>
      <c r="F24" s="1302">
        <v>0.47633330000000002</v>
      </c>
      <c r="G24" s="1294">
        <v>7.7388899999999997E-2</v>
      </c>
      <c r="H24" s="1295">
        <v>3.1556000000000001E-2</v>
      </c>
      <c r="I24" s="1283">
        <v>1.0500000000000001E-2</v>
      </c>
      <c r="J24" s="1296">
        <v>5.7222000000000002E-3</v>
      </c>
      <c r="K24" s="1297">
        <v>3.0000000000000001E-3</v>
      </c>
      <c r="L24" s="1298">
        <v>7.5213891000000004</v>
      </c>
      <c r="M24" s="1287">
        <v>2</v>
      </c>
    </row>
    <row r="25" spans="1:13" ht="14" customHeight="1" x14ac:dyDescent="0.15">
      <c r="A25" s="1288">
        <v>2.1</v>
      </c>
      <c r="B25" s="1289">
        <v>0.94466669999999997</v>
      </c>
      <c r="C25" s="1290">
        <v>3.4893333000000002</v>
      </c>
      <c r="D25" s="1291">
        <v>1.5806667000000001</v>
      </c>
      <c r="E25" s="1292">
        <v>0.94123310000000004</v>
      </c>
      <c r="F25" s="1293">
        <v>0.47831669999999998</v>
      </c>
      <c r="G25" s="1294">
        <v>7.76472E-2</v>
      </c>
      <c r="H25" s="1295">
        <v>3.1633799999999997E-2</v>
      </c>
      <c r="I25" s="1283">
        <v>1.05389E-2</v>
      </c>
      <c r="J25" s="1296">
        <v>5.7305999999999998E-3</v>
      </c>
      <c r="K25" s="1297">
        <v>3.0528E-3</v>
      </c>
      <c r="L25" s="1298">
        <v>7.5628197000000004</v>
      </c>
      <c r="M25" s="1299">
        <v>2.1</v>
      </c>
    </row>
    <row r="26" spans="1:13" ht="14" customHeight="1" x14ac:dyDescent="0.15">
      <c r="A26" s="1288">
        <v>2.2000000000000002</v>
      </c>
      <c r="B26" s="1289">
        <v>0.94599999999999995</v>
      </c>
      <c r="C26" s="1300">
        <v>3.5253332999999998</v>
      </c>
      <c r="D26" s="1301">
        <v>1.5813333000000001</v>
      </c>
      <c r="E26" s="1292">
        <v>0.94224419999999998</v>
      </c>
      <c r="F26" s="1302">
        <v>0.4803</v>
      </c>
      <c r="G26" s="1294">
        <v>7.7905600000000005E-2</v>
      </c>
      <c r="H26" s="1295">
        <v>3.17116E-2</v>
      </c>
      <c r="I26" s="1283">
        <v>1.05778E-2</v>
      </c>
      <c r="J26" s="1296">
        <v>5.7388999999999999E-3</v>
      </c>
      <c r="K26" s="1297">
        <v>3.1056E-3</v>
      </c>
      <c r="L26" s="1298">
        <v>7.6042503000000004</v>
      </c>
      <c r="M26" s="1299">
        <v>2.2000000000000002</v>
      </c>
    </row>
    <row r="27" spans="1:13" ht="14" customHeight="1" x14ac:dyDescent="0.15">
      <c r="A27" s="1288">
        <v>2.2999999999999998</v>
      </c>
      <c r="B27" s="1289">
        <v>0.94733330000000004</v>
      </c>
      <c r="C27" s="1290">
        <v>3.5613332999999998</v>
      </c>
      <c r="D27" s="1291">
        <v>1.5820000000000001</v>
      </c>
      <c r="E27" s="1292">
        <v>0.94325530000000002</v>
      </c>
      <c r="F27" s="1293">
        <v>0.48228330000000003</v>
      </c>
      <c r="G27" s="1294">
        <v>7.8163899999999994E-2</v>
      </c>
      <c r="H27" s="1295">
        <v>3.1789400000000002E-2</v>
      </c>
      <c r="I27" s="1283">
        <v>1.06167E-2</v>
      </c>
      <c r="J27" s="1296">
        <v>5.7472000000000001E-3</v>
      </c>
      <c r="K27" s="1297">
        <v>3.1583000000000002E-3</v>
      </c>
      <c r="L27" s="1298">
        <v>7.6456808000000001</v>
      </c>
      <c r="M27" s="1299">
        <v>2.2999999999999998</v>
      </c>
    </row>
    <row r="28" spans="1:13" ht="14" customHeight="1" x14ac:dyDescent="0.15">
      <c r="A28" s="1288">
        <v>2.4</v>
      </c>
      <c r="B28" s="1289">
        <v>0.94866669999999997</v>
      </c>
      <c r="C28" s="1300">
        <v>3.5973332999999998</v>
      </c>
      <c r="D28" s="1301">
        <v>1.5826667000000001</v>
      </c>
      <c r="E28" s="1292">
        <v>0.94426639999999995</v>
      </c>
      <c r="F28" s="1302">
        <v>0.48426669999999999</v>
      </c>
      <c r="G28" s="1294">
        <v>7.8422199999999997E-2</v>
      </c>
      <c r="H28" s="1295">
        <v>3.1867199999999998E-2</v>
      </c>
      <c r="I28" s="1283">
        <v>1.0655599999999999E-2</v>
      </c>
      <c r="J28" s="1296">
        <v>5.7555999999999996E-3</v>
      </c>
      <c r="K28" s="1297">
        <v>3.2111000000000002E-3</v>
      </c>
      <c r="L28" s="1298">
        <v>7.6871114</v>
      </c>
      <c r="M28" s="1299">
        <v>2.4</v>
      </c>
    </row>
    <row r="29" spans="1:13" ht="14" customHeight="1" x14ac:dyDescent="0.15">
      <c r="A29" s="1288">
        <v>2.5</v>
      </c>
      <c r="B29" s="1289">
        <v>0.95</v>
      </c>
      <c r="C29" s="1290">
        <v>3.6333332999999999</v>
      </c>
      <c r="D29" s="1291">
        <v>1.5833333000000001</v>
      </c>
      <c r="E29" s="1292">
        <v>0.94527749999999999</v>
      </c>
      <c r="F29" s="1293">
        <v>0.48625000000000002</v>
      </c>
      <c r="G29" s="1294">
        <v>7.8680600000000003E-2</v>
      </c>
      <c r="H29" s="1295">
        <v>3.1945000000000001E-2</v>
      </c>
      <c r="I29" s="1283">
        <v>1.06944E-2</v>
      </c>
      <c r="J29" s="1296">
        <v>5.7638999999999998E-3</v>
      </c>
      <c r="K29" s="1297">
        <v>3.2639000000000001E-3</v>
      </c>
      <c r="L29" s="1298">
        <v>7.728542</v>
      </c>
      <c r="M29" s="1299">
        <v>2.5</v>
      </c>
    </row>
    <row r="30" spans="1:13" ht="14" customHeight="1" x14ac:dyDescent="0.15">
      <c r="A30" s="1288">
        <v>2.6</v>
      </c>
      <c r="B30" s="1289">
        <v>0.95133330000000005</v>
      </c>
      <c r="C30" s="1300">
        <v>3.6693332999999999</v>
      </c>
      <c r="D30" s="1301">
        <v>1.5840000000000001</v>
      </c>
      <c r="E30" s="1292">
        <v>0.94628860000000004</v>
      </c>
      <c r="F30" s="1302">
        <v>0.48823329999999998</v>
      </c>
      <c r="G30" s="1294">
        <v>7.8938900000000006E-2</v>
      </c>
      <c r="H30" s="1295">
        <v>3.2022799999999997E-2</v>
      </c>
      <c r="I30" s="1283">
        <v>1.0733299999999999E-2</v>
      </c>
      <c r="J30" s="1296">
        <v>5.7721999999999999E-3</v>
      </c>
      <c r="K30" s="1297">
        <v>3.3167000000000001E-3</v>
      </c>
      <c r="L30" s="1298">
        <v>7.7699724999999997</v>
      </c>
      <c r="M30" s="1299">
        <v>2.6</v>
      </c>
    </row>
    <row r="31" spans="1:13" ht="14" customHeight="1" x14ac:dyDescent="0.15">
      <c r="A31" s="1288">
        <v>2.7</v>
      </c>
      <c r="B31" s="1289">
        <v>0.95266669999999998</v>
      </c>
      <c r="C31" s="1290">
        <v>3.7053332999999999</v>
      </c>
      <c r="D31" s="1291">
        <v>1.5846667000000001</v>
      </c>
      <c r="E31" s="1292">
        <v>0.94729969999999997</v>
      </c>
      <c r="F31" s="1293">
        <v>0.49021670000000001</v>
      </c>
      <c r="G31" s="1294">
        <v>7.9197199999999995E-2</v>
      </c>
      <c r="H31" s="1295">
        <v>3.21006E-2</v>
      </c>
      <c r="I31" s="1283">
        <v>1.0772199999999999E-2</v>
      </c>
      <c r="J31" s="1296">
        <v>5.7806000000000003E-3</v>
      </c>
      <c r="K31" s="1297">
        <v>3.3693999999999998E-3</v>
      </c>
      <c r="L31" s="1298">
        <v>7.8114030999999997</v>
      </c>
      <c r="M31" s="1299">
        <v>2.7</v>
      </c>
    </row>
    <row r="32" spans="1:13" ht="14" customHeight="1" x14ac:dyDescent="0.15">
      <c r="A32" s="1288">
        <v>2.8</v>
      </c>
      <c r="B32" s="1289">
        <v>0.95399999999999996</v>
      </c>
      <c r="C32" s="1300">
        <v>3.7413333</v>
      </c>
      <c r="D32" s="1301">
        <v>1.5853333000000001</v>
      </c>
      <c r="E32" s="1292">
        <v>0.94831080000000001</v>
      </c>
      <c r="F32" s="1302">
        <v>0.49220000000000003</v>
      </c>
      <c r="G32" s="1294">
        <v>7.9455600000000001E-2</v>
      </c>
      <c r="H32" s="1295">
        <v>3.2178400000000003E-2</v>
      </c>
      <c r="I32" s="1283">
        <v>1.0811100000000001E-2</v>
      </c>
      <c r="J32" s="1296">
        <v>5.7888999999999996E-3</v>
      </c>
      <c r="K32" s="1297">
        <v>3.4221999999999998E-3</v>
      </c>
      <c r="L32" s="1298">
        <v>7.8528336000000003</v>
      </c>
      <c r="M32" s="1299">
        <v>2.8</v>
      </c>
    </row>
    <row r="33" spans="1:13" ht="14" customHeight="1" x14ac:dyDescent="0.15">
      <c r="A33" s="1288">
        <v>2.9</v>
      </c>
      <c r="B33" s="1289">
        <v>0.95533330000000005</v>
      </c>
      <c r="C33" s="1290">
        <v>3.7773333</v>
      </c>
      <c r="D33" s="1291">
        <v>1.5860000000000001</v>
      </c>
      <c r="E33" s="1292">
        <v>0.94932190000000005</v>
      </c>
      <c r="F33" s="1293">
        <v>0.49418329999999999</v>
      </c>
      <c r="G33" s="1294">
        <v>7.9713900000000004E-2</v>
      </c>
      <c r="H33" s="1295">
        <v>3.2256199999999999E-2</v>
      </c>
      <c r="I33" s="1283">
        <v>1.085E-2</v>
      </c>
      <c r="J33" s="1296">
        <v>5.7971999999999997E-3</v>
      </c>
      <c r="K33" s="1297">
        <v>3.4749999999999998E-3</v>
      </c>
      <c r="L33" s="1298">
        <v>7.8942642000000003</v>
      </c>
      <c r="M33" s="1299">
        <v>2.9</v>
      </c>
    </row>
    <row r="34" spans="1:13" ht="14" customHeight="1" x14ac:dyDescent="0.15">
      <c r="A34" s="1275">
        <v>3</v>
      </c>
      <c r="B34" s="1289">
        <v>0.95666669999999998</v>
      </c>
      <c r="C34" s="1300">
        <v>3.8133333</v>
      </c>
      <c r="D34" s="1301">
        <v>1.5866667000000001</v>
      </c>
      <c r="E34" s="1292">
        <v>0.95033299999999998</v>
      </c>
      <c r="F34" s="1302">
        <v>0.49616670000000002</v>
      </c>
      <c r="G34" s="1294">
        <v>7.9972199999999993E-2</v>
      </c>
      <c r="H34" s="1295">
        <v>3.2334000000000002E-2</v>
      </c>
      <c r="I34" s="1283">
        <v>1.08889E-2</v>
      </c>
      <c r="J34" s="1296">
        <v>5.8056000000000002E-3</v>
      </c>
      <c r="K34" s="1297">
        <v>3.5278000000000002E-3</v>
      </c>
      <c r="L34" s="1298">
        <v>7.9356948000000003</v>
      </c>
      <c r="M34" s="1287">
        <v>3</v>
      </c>
    </row>
    <row r="35" spans="1:13" ht="14" customHeight="1" x14ac:dyDescent="0.15">
      <c r="A35" s="1288">
        <v>3.1</v>
      </c>
      <c r="B35" s="1289">
        <v>0.95799999999999996</v>
      </c>
      <c r="C35" s="1290">
        <v>3.8493333000000001</v>
      </c>
      <c r="D35" s="1291">
        <v>1.5873333000000001</v>
      </c>
      <c r="E35" s="1292">
        <v>0.95134410000000003</v>
      </c>
      <c r="F35" s="1293">
        <v>0.49814999999999998</v>
      </c>
      <c r="G35" s="1294">
        <v>8.0230599999999999E-2</v>
      </c>
      <c r="H35" s="1295">
        <v>3.2411799999999998E-2</v>
      </c>
      <c r="I35" s="1283">
        <v>1.09278E-2</v>
      </c>
      <c r="J35" s="1296">
        <v>5.8139000000000003E-3</v>
      </c>
      <c r="K35" s="1297">
        <v>3.5806000000000002E-3</v>
      </c>
      <c r="L35" s="1298">
        <v>7.9771253</v>
      </c>
      <c r="M35" s="1299">
        <v>3.1</v>
      </c>
    </row>
    <row r="36" spans="1:13" ht="14" customHeight="1" x14ac:dyDescent="0.15">
      <c r="A36" s="1288">
        <v>3.2</v>
      </c>
      <c r="B36" s="1289">
        <v>0.95933330000000006</v>
      </c>
      <c r="C36" s="1300">
        <v>3.8853333000000001</v>
      </c>
      <c r="D36" s="1301">
        <v>1.5880000000000001</v>
      </c>
      <c r="E36" s="1292">
        <v>0.95235519999999996</v>
      </c>
      <c r="F36" s="1302">
        <v>0.5001333</v>
      </c>
      <c r="G36" s="1294">
        <v>8.0488900000000002E-2</v>
      </c>
      <c r="H36" s="1295">
        <v>3.24896E-2</v>
      </c>
      <c r="I36" s="1283">
        <v>1.0966699999999999E-2</v>
      </c>
      <c r="J36" s="1296">
        <v>5.8221999999999996E-3</v>
      </c>
      <c r="K36" s="1297">
        <v>3.6332999999999999E-3</v>
      </c>
      <c r="L36" s="1298">
        <v>8.0185559000000008</v>
      </c>
      <c r="M36" s="1299">
        <v>3.2</v>
      </c>
    </row>
    <row r="37" spans="1:13" ht="14" customHeight="1" x14ac:dyDescent="0.15">
      <c r="A37" s="1288">
        <v>3.3</v>
      </c>
      <c r="B37" s="1289">
        <v>0.96066669999999998</v>
      </c>
      <c r="C37" s="1290">
        <v>3.9213333000000001</v>
      </c>
      <c r="D37" s="1291">
        <v>1.5886667000000001</v>
      </c>
      <c r="E37" s="1292">
        <v>0.9533663</v>
      </c>
      <c r="F37" s="1293">
        <v>0.50211669999999997</v>
      </c>
      <c r="G37" s="1294">
        <v>8.0747200000000005E-2</v>
      </c>
      <c r="H37" s="1295">
        <v>3.2567400000000003E-2</v>
      </c>
      <c r="I37" s="1283">
        <v>1.1005600000000001E-2</v>
      </c>
      <c r="J37" s="1296">
        <v>5.8306E-3</v>
      </c>
      <c r="K37" s="1297">
        <v>3.6860999999999999E-3</v>
      </c>
      <c r="L37" s="1298">
        <v>8.0599865000000008</v>
      </c>
      <c r="M37" s="1299">
        <v>3.3</v>
      </c>
    </row>
    <row r="38" spans="1:13" ht="14" customHeight="1" x14ac:dyDescent="0.15">
      <c r="A38" s="1288">
        <v>3.4</v>
      </c>
      <c r="B38" s="1289">
        <v>0.96199999999999997</v>
      </c>
      <c r="C38" s="1300">
        <v>3.9573333000000002</v>
      </c>
      <c r="D38" s="1301">
        <v>1.5893333000000001</v>
      </c>
      <c r="E38" s="1292">
        <v>0.95437740000000004</v>
      </c>
      <c r="F38" s="1302">
        <v>0.50409999999999999</v>
      </c>
      <c r="G38" s="1294">
        <v>8.1005599999999997E-2</v>
      </c>
      <c r="H38" s="1295">
        <v>3.2645199999999999E-2</v>
      </c>
      <c r="I38" s="1283">
        <v>1.1044399999999999E-2</v>
      </c>
      <c r="J38" s="1296">
        <v>5.8389000000000002E-3</v>
      </c>
      <c r="K38" s="1297">
        <v>3.7388999999999999E-3</v>
      </c>
      <c r="L38" s="1298">
        <v>8.1014169999999996</v>
      </c>
      <c r="M38" s="1299">
        <v>3.4</v>
      </c>
    </row>
    <row r="39" spans="1:13" ht="14" customHeight="1" x14ac:dyDescent="0.15">
      <c r="A39" s="1288">
        <v>3.5</v>
      </c>
      <c r="B39" s="1289">
        <v>0.96333329999999995</v>
      </c>
      <c r="C39" s="1290">
        <v>3.9933333000000002</v>
      </c>
      <c r="D39" s="1291">
        <v>1.59</v>
      </c>
      <c r="E39" s="1292">
        <v>0.95538849999999997</v>
      </c>
      <c r="F39" s="1293">
        <v>0.50608330000000001</v>
      </c>
      <c r="G39" s="1294">
        <v>8.12639E-2</v>
      </c>
      <c r="H39" s="1295">
        <v>3.2723000000000002E-2</v>
      </c>
      <c r="I39" s="1283">
        <v>1.1083300000000001E-2</v>
      </c>
      <c r="J39" s="1296">
        <v>5.8472000000000003E-3</v>
      </c>
      <c r="K39" s="1297">
        <v>3.7916999999999998E-3</v>
      </c>
      <c r="L39" s="1298">
        <v>8.1428475999999996</v>
      </c>
      <c r="M39" s="1299">
        <v>3.5</v>
      </c>
    </row>
    <row r="40" spans="1:13" ht="14" customHeight="1" x14ac:dyDescent="0.15">
      <c r="A40" s="1288">
        <v>3.6</v>
      </c>
      <c r="B40" s="1289">
        <v>0.96466669999999999</v>
      </c>
      <c r="C40" s="1300">
        <v>4.0293333000000002</v>
      </c>
      <c r="D40" s="1301">
        <v>1.5906667000000001</v>
      </c>
      <c r="E40" s="1292">
        <v>0.95639960000000002</v>
      </c>
      <c r="F40" s="1302">
        <v>0.50806669999999998</v>
      </c>
      <c r="G40" s="1294">
        <v>8.1522200000000003E-2</v>
      </c>
      <c r="H40" s="1295">
        <v>3.2800799999999998E-2</v>
      </c>
      <c r="I40" s="1283">
        <v>1.11222E-2</v>
      </c>
      <c r="J40" s="1296">
        <v>5.8555999999999999E-3</v>
      </c>
      <c r="K40" s="1297">
        <v>3.8444E-3</v>
      </c>
      <c r="L40" s="1298">
        <v>8.1842781999999996</v>
      </c>
      <c r="M40" s="1299">
        <v>3.6</v>
      </c>
    </row>
    <row r="41" spans="1:13" ht="14" customHeight="1" x14ac:dyDescent="0.15">
      <c r="A41" s="1288">
        <v>3.7</v>
      </c>
      <c r="B41" s="1289">
        <v>0.96599999999999997</v>
      </c>
      <c r="C41" s="1290">
        <v>4.0653332999999998</v>
      </c>
      <c r="D41" s="1291">
        <v>1.5913333000000001</v>
      </c>
      <c r="E41" s="1292">
        <v>0.95741069999999995</v>
      </c>
      <c r="F41" s="1293">
        <v>0.51005</v>
      </c>
      <c r="G41" s="1294">
        <v>8.1780599999999995E-2</v>
      </c>
      <c r="H41" s="1295">
        <v>3.2878600000000001E-2</v>
      </c>
      <c r="I41" s="1283">
        <v>1.11611E-2</v>
      </c>
      <c r="J41" s="1296">
        <v>5.8639E-3</v>
      </c>
      <c r="K41" s="1297">
        <v>3.8972E-3</v>
      </c>
      <c r="L41" s="1298">
        <v>8.2257087000000002</v>
      </c>
      <c r="M41" s="1299">
        <v>3.7</v>
      </c>
    </row>
    <row r="42" spans="1:13" ht="14" customHeight="1" x14ac:dyDescent="0.15">
      <c r="A42" s="1288">
        <v>3.8</v>
      </c>
      <c r="B42" s="1289">
        <v>0.96733329999999995</v>
      </c>
      <c r="C42" s="1300">
        <v>4.1013333000000003</v>
      </c>
      <c r="D42" s="1301">
        <v>1.5920000000000001</v>
      </c>
      <c r="E42" s="1292">
        <v>0.95842179999999999</v>
      </c>
      <c r="F42" s="1302">
        <v>0.51203330000000002</v>
      </c>
      <c r="G42" s="1294">
        <v>8.2038899999999998E-2</v>
      </c>
      <c r="H42" s="1295">
        <v>3.2956399999999997E-2</v>
      </c>
      <c r="I42" s="1283">
        <v>1.12E-2</v>
      </c>
      <c r="J42" s="1296">
        <v>5.8722000000000002E-3</v>
      </c>
      <c r="K42" s="1297">
        <v>3.9500000000000004E-3</v>
      </c>
      <c r="L42" s="1298">
        <v>8.2671393000000002</v>
      </c>
      <c r="M42" s="1299">
        <v>3.8</v>
      </c>
    </row>
    <row r="43" spans="1:13" ht="14" customHeight="1" x14ac:dyDescent="0.15">
      <c r="A43" s="1288">
        <v>3.9</v>
      </c>
      <c r="B43" s="1289">
        <v>0.96866669999999999</v>
      </c>
      <c r="C43" s="1290">
        <v>4.1373332999999999</v>
      </c>
      <c r="D43" s="1291">
        <v>1.5926667000000001</v>
      </c>
      <c r="E43" s="1292">
        <v>0.95943290000000003</v>
      </c>
      <c r="F43" s="1293">
        <v>0.51401669999999999</v>
      </c>
      <c r="G43" s="1294">
        <v>8.2297200000000001E-2</v>
      </c>
      <c r="H43" s="1295">
        <v>3.30342E-2</v>
      </c>
      <c r="I43" s="1283">
        <v>1.12389E-2</v>
      </c>
      <c r="J43" s="1296">
        <v>5.8805999999999997E-3</v>
      </c>
      <c r="K43" s="1297">
        <v>4.0027999999999999E-3</v>
      </c>
      <c r="L43" s="1298">
        <v>8.3085699000000002</v>
      </c>
      <c r="M43" s="1299">
        <v>3.9</v>
      </c>
    </row>
    <row r="44" spans="1:13" ht="14" customHeight="1" x14ac:dyDescent="0.15">
      <c r="A44" s="1275">
        <v>4</v>
      </c>
      <c r="B44" s="1303">
        <v>0.97</v>
      </c>
      <c r="C44" s="1300">
        <v>4.1733333000000004</v>
      </c>
      <c r="D44" s="1301">
        <v>1.5933333000000001</v>
      </c>
      <c r="E44" s="1292">
        <v>0.96044399999999996</v>
      </c>
      <c r="F44" s="1302">
        <v>0.51600000000000001</v>
      </c>
      <c r="G44" s="1294">
        <v>8.2555600000000007E-2</v>
      </c>
      <c r="H44" s="1304">
        <v>3.3112000000000003E-2</v>
      </c>
      <c r="I44" s="1305">
        <v>1.1277799999999999E-2</v>
      </c>
      <c r="J44" s="1296">
        <v>5.8888999999999999E-3</v>
      </c>
      <c r="K44" s="1297">
        <v>4.0556000000000004E-3</v>
      </c>
      <c r="L44" s="1298">
        <v>8.3500004000000008</v>
      </c>
      <c r="M44" s="1287">
        <v>4</v>
      </c>
    </row>
    <row r="45" spans="1:13" ht="14" customHeight="1" x14ac:dyDescent="0.15">
      <c r="A45" s="1288">
        <v>4.0999999999999996</v>
      </c>
      <c r="B45" s="1289">
        <v>0.97133329999999996</v>
      </c>
      <c r="C45" s="1290">
        <v>4.2093332999999999</v>
      </c>
      <c r="D45" s="1291">
        <v>1.5940000000000001</v>
      </c>
      <c r="E45" s="1292">
        <v>0.96145510000000001</v>
      </c>
      <c r="F45" s="1293">
        <v>0.51798330000000004</v>
      </c>
      <c r="G45" s="1294">
        <v>8.2813899999999996E-2</v>
      </c>
      <c r="H45" s="1295">
        <v>3.3189799999999998E-2</v>
      </c>
      <c r="I45" s="1283">
        <v>1.1316700000000001E-2</v>
      </c>
      <c r="J45" s="1296">
        <v>5.8972E-3</v>
      </c>
      <c r="K45" s="1297">
        <v>4.1082999999999996E-3</v>
      </c>
      <c r="L45" s="1298">
        <v>8.3914310000000008</v>
      </c>
      <c r="M45" s="1299">
        <v>4.0999999999999996</v>
      </c>
    </row>
    <row r="46" spans="1:13" ht="14" customHeight="1" x14ac:dyDescent="0.15">
      <c r="A46" s="1288">
        <v>4.2</v>
      </c>
      <c r="B46" s="1289">
        <v>0.9726667</v>
      </c>
      <c r="C46" s="1300">
        <v>4.2453333000000004</v>
      </c>
      <c r="D46" s="1301">
        <v>1.5946667000000001</v>
      </c>
      <c r="E46" s="1292">
        <v>0.96246620000000005</v>
      </c>
      <c r="F46" s="1302">
        <v>0.5199667</v>
      </c>
      <c r="G46" s="1294">
        <v>8.3072199999999999E-2</v>
      </c>
      <c r="H46" s="1295">
        <v>3.3267600000000001E-2</v>
      </c>
      <c r="I46" s="1283">
        <v>1.13556E-2</v>
      </c>
      <c r="J46" s="1296">
        <v>5.9056000000000004E-3</v>
      </c>
      <c r="K46" s="1297">
        <v>4.1611E-3</v>
      </c>
      <c r="L46" s="1298">
        <v>8.4328616000000007</v>
      </c>
      <c r="M46" s="1299">
        <v>4.2</v>
      </c>
    </row>
    <row r="47" spans="1:13" ht="14" customHeight="1" x14ac:dyDescent="0.15">
      <c r="A47" s="1288">
        <v>4.3</v>
      </c>
      <c r="B47" s="1289">
        <v>0.97399999999999998</v>
      </c>
      <c r="C47" s="1290">
        <v>4.2813333</v>
      </c>
      <c r="D47" s="1291">
        <v>1.5953333000000001</v>
      </c>
      <c r="E47" s="1292">
        <v>0.96347729999999998</v>
      </c>
      <c r="F47" s="1293">
        <v>0.52195000000000003</v>
      </c>
      <c r="G47" s="1294">
        <v>8.3330600000000005E-2</v>
      </c>
      <c r="H47" s="1295">
        <v>3.3345399999999997E-2</v>
      </c>
      <c r="I47" s="1283">
        <v>1.1394400000000001E-2</v>
      </c>
      <c r="J47" s="1296">
        <v>5.9138999999999997E-3</v>
      </c>
      <c r="K47" s="1297">
        <v>4.2138999999999996E-3</v>
      </c>
      <c r="L47" s="1298">
        <v>8.4742920999999996</v>
      </c>
      <c r="M47" s="1299">
        <v>4.3</v>
      </c>
    </row>
    <row r="48" spans="1:13" ht="14" customHeight="1" x14ac:dyDescent="0.15">
      <c r="A48" s="1288">
        <v>4.4000000000000004</v>
      </c>
      <c r="B48" s="1289">
        <v>0.97533329999999996</v>
      </c>
      <c r="C48" s="1300">
        <v>4.3173332999999996</v>
      </c>
      <c r="D48" s="1301">
        <v>1.5960000000000001</v>
      </c>
      <c r="E48" s="1292">
        <v>0.96448840000000002</v>
      </c>
      <c r="F48" s="1302">
        <v>0.52393330000000005</v>
      </c>
      <c r="G48" s="1294">
        <v>8.3588899999999994E-2</v>
      </c>
      <c r="H48" s="1295">
        <v>3.34232E-2</v>
      </c>
      <c r="I48" s="1283">
        <v>1.14333E-2</v>
      </c>
      <c r="J48" s="1296">
        <v>5.9221999999999999E-3</v>
      </c>
      <c r="K48" s="1297">
        <v>4.2667E-3</v>
      </c>
      <c r="L48" s="1298">
        <v>8.5157226999999995</v>
      </c>
      <c r="M48" s="1299">
        <v>4.4000000000000004</v>
      </c>
    </row>
    <row r="49" spans="1:13" ht="14" customHeight="1" x14ac:dyDescent="0.15">
      <c r="A49" s="1288">
        <v>4.5</v>
      </c>
      <c r="B49" s="1289">
        <v>0.9766667</v>
      </c>
      <c r="C49" s="1290">
        <v>4.3533333000000001</v>
      </c>
      <c r="D49" s="1291">
        <v>1.5966667000000001</v>
      </c>
      <c r="E49" s="1292">
        <v>0.96549949999999995</v>
      </c>
      <c r="F49" s="1293">
        <v>0.52591670000000001</v>
      </c>
      <c r="G49" s="1294">
        <v>8.3847199999999997E-2</v>
      </c>
      <c r="H49" s="1295">
        <v>3.3501000000000003E-2</v>
      </c>
      <c r="I49" s="1283">
        <v>1.14722E-2</v>
      </c>
      <c r="J49" s="1296">
        <v>5.9306000000000003E-3</v>
      </c>
      <c r="K49" s="1297">
        <v>4.3194000000000001E-3</v>
      </c>
      <c r="L49" s="1298">
        <v>8.5571532999999995</v>
      </c>
      <c r="M49" s="1299">
        <v>4.5</v>
      </c>
    </row>
    <row r="50" spans="1:13" ht="14" customHeight="1" x14ac:dyDescent="0.15">
      <c r="A50" s="1288">
        <v>4.5999999999999996</v>
      </c>
      <c r="B50" s="1289">
        <v>0.97799999999999998</v>
      </c>
      <c r="C50" s="1300">
        <v>4.3893332999999997</v>
      </c>
      <c r="D50" s="1301">
        <v>1.5973333000000001</v>
      </c>
      <c r="E50" s="1292">
        <v>0.9665106</v>
      </c>
      <c r="F50" s="1302">
        <v>0.52790000000000004</v>
      </c>
      <c r="G50" s="1294">
        <v>8.4105600000000003E-2</v>
      </c>
      <c r="H50" s="1295">
        <v>3.3578799999999999E-2</v>
      </c>
      <c r="I50" s="1283">
        <v>1.15111E-2</v>
      </c>
      <c r="J50" s="1296">
        <v>5.9389000000000004E-3</v>
      </c>
      <c r="K50" s="1297">
        <v>4.3721999999999997E-3</v>
      </c>
      <c r="L50" s="1298">
        <v>8.5985838000000001</v>
      </c>
      <c r="M50" s="1299">
        <v>4.5999999999999996</v>
      </c>
    </row>
    <row r="51" spans="1:13" ht="14" customHeight="1" x14ac:dyDescent="0.15">
      <c r="A51" s="1288">
        <v>4.7</v>
      </c>
      <c r="B51" s="1289">
        <v>0.97933329999999996</v>
      </c>
      <c r="C51" s="1290">
        <v>4.4253333000000001</v>
      </c>
      <c r="D51" s="1291">
        <v>1.5980000000000001</v>
      </c>
      <c r="E51" s="1292">
        <v>0.96752170000000004</v>
      </c>
      <c r="F51" s="1293">
        <v>0.52988329999999995</v>
      </c>
      <c r="G51" s="1294">
        <v>8.4363900000000006E-2</v>
      </c>
      <c r="H51" s="1295">
        <v>3.3656600000000002E-2</v>
      </c>
      <c r="I51" s="1283">
        <v>1.155E-2</v>
      </c>
      <c r="J51" s="1296">
        <v>5.9471999999999997E-3</v>
      </c>
      <c r="K51" s="1297">
        <v>4.4250000000000001E-3</v>
      </c>
      <c r="L51" s="1298">
        <v>8.6400144000000001</v>
      </c>
      <c r="M51" s="1299">
        <v>4.7</v>
      </c>
    </row>
    <row r="52" spans="1:13" ht="14" customHeight="1" x14ac:dyDescent="0.15">
      <c r="A52" s="1288">
        <v>4.8</v>
      </c>
      <c r="B52" s="1289">
        <v>0.9806667</v>
      </c>
      <c r="C52" s="1300">
        <v>4.4613332999999997</v>
      </c>
      <c r="D52" s="1301">
        <v>1.5986667000000001</v>
      </c>
      <c r="E52" s="1292">
        <v>0.96853279999999997</v>
      </c>
      <c r="F52" s="1302">
        <v>0.53186670000000003</v>
      </c>
      <c r="G52" s="1294">
        <v>8.4622199999999995E-2</v>
      </c>
      <c r="H52" s="1295">
        <v>3.3734399999999998E-2</v>
      </c>
      <c r="I52" s="1283">
        <v>1.1588899999999999E-2</v>
      </c>
      <c r="J52" s="1296">
        <v>5.9556000000000001E-3</v>
      </c>
      <c r="K52" s="1297">
        <v>4.4777999999999997E-3</v>
      </c>
      <c r="L52" s="1298">
        <v>8.6814450000000001</v>
      </c>
      <c r="M52" s="1299">
        <v>4.8</v>
      </c>
    </row>
    <row r="53" spans="1:13" ht="14" customHeight="1" x14ac:dyDescent="0.15">
      <c r="A53" s="1288">
        <v>4.9000000000000004</v>
      </c>
      <c r="B53" s="1289">
        <v>0.98199999999999998</v>
      </c>
      <c r="C53" s="1290">
        <v>4.4973333000000002</v>
      </c>
      <c r="D53" s="1291">
        <v>1.5993333000000001</v>
      </c>
      <c r="E53" s="1292">
        <v>0.96954390000000001</v>
      </c>
      <c r="F53" s="1293">
        <v>0.53385000000000005</v>
      </c>
      <c r="G53" s="1294">
        <v>8.48806E-2</v>
      </c>
      <c r="H53" s="1295">
        <v>3.3812200000000001E-2</v>
      </c>
      <c r="I53" s="1283">
        <v>1.1627800000000001E-2</v>
      </c>
      <c r="J53" s="1296">
        <v>5.9639000000000003E-3</v>
      </c>
      <c r="K53" s="1297">
        <v>4.5306000000000001E-3</v>
      </c>
      <c r="L53" s="1298">
        <v>8.7228755000000007</v>
      </c>
      <c r="M53" s="1299">
        <v>4.9000000000000004</v>
      </c>
    </row>
    <row r="54" spans="1:13" ht="14" customHeight="1" x14ac:dyDescent="0.15">
      <c r="A54" s="1275">
        <v>5</v>
      </c>
      <c r="B54" s="1303">
        <v>0.98333329999999997</v>
      </c>
      <c r="C54" s="1300">
        <v>4.5333332999999998</v>
      </c>
      <c r="D54" s="1301">
        <v>1.6</v>
      </c>
      <c r="E54" s="1292">
        <v>0.97055499999999995</v>
      </c>
      <c r="F54" s="1302">
        <v>0.53583329999999996</v>
      </c>
      <c r="G54" s="1294">
        <v>8.5138900000000003E-2</v>
      </c>
      <c r="H54" s="1304">
        <v>3.3890000000000003E-2</v>
      </c>
      <c r="I54" s="1305">
        <v>1.16667E-2</v>
      </c>
      <c r="J54" s="1296">
        <v>5.9722000000000004E-3</v>
      </c>
      <c r="K54" s="1297">
        <v>4.5833000000000002E-3</v>
      </c>
      <c r="L54" s="1298">
        <v>8.7643061000000007</v>
      </c>
      <c r="M54" s="1287">
        <v>5</v>
      </c>
    </row>
    <row r="55" spans="1:13" ht="14" customHeight="1" x14ac:dyDescent="0.15">
      <c r="A55" s="1288">
        <v>5.0999999999999996</v>
      </c>
      <c r="B55" s="1289">
        <v>0.98466670000000001</v>
      </c>
      <c r="C55" s="1290">
        <v>4.5693333000000003</v>
      </c>
      <c r="D55" s="1291">
        <v>1.6006667000000001</v>
      </c>
      <c r="E55" s="1292">
        <v>0.97156609999999999</v>
      </c>
      <c r="F55" s="1293">
        <v>0.53781670000000004</v>
      </c>
      <c r="G55" s="1294">
        <v>8.5397200000000006E-2</v>
      </c>
      <c r="H55" s="1295">
        <v>3.3967799999999999E-2</v>
      </c>
      <c r="I55" s="1283">
        <v>1.17056E-2</v>
      </c>
      <c r="J55" s="1296">
        <v>5.9806E-3</v>
      </c>
      <c r="K55" s="1297">
        <v>4.6360999999999998E-3</v>
      </c>
      <c r="L55" s="1298">
        <v>8.8057367000000006</v>
      </c>
      <c r="M55" s="1299">
        <v>5.0999999999999996</v>
      </c>
    </row>
    <row r="56" spans="1:13" ht="14" customHeight="1" x14ac:dyDescent="0.15">
      <c r="A56" s="1288">
        <v>5.2</v>
      </c>
      <c r="B56" s="1289">
        <v>0.98599999999999999</v>
      </c>
      <c r="C56" s="1300">
        <v>4.6053332999999999</v>
      </c>
      <c r="D56" s="1301">
        <v>1.6013333000000001</v>
      </c>
      <c r="E56" s="1292">
        <v>0.97257720000000003</v>
      </c>
      <c r="F56" s="1302">
        <v>0.53979999999999995</v>
      </c>
      <c r="G56" s="1294">
        <v>8.5655599999999998E-2</v>
      </c>
      <c r="H56" s="1295">
        <v>3.4045600000000002E-2</v>
      </c>
      <c r="I56" s="1283">
        <v>1.17444E-2</v>
      </c>
      <c r="J56" s="1296">
        <v>5.9889000000000001E-3</v>
      </c>
      <c r="K56" s="1297">
        <v>4.6889000000000002E-3</v>
      </c>
      <c r="L56" s="1298">
        <v>8.8471671999999995</v>
      </c>
      <c r="M56" s="1299">
        <v>5.2</v>
      </c>
    </row>
    <row r="57" spans="1:13" ht="14" customHeight="1" x14ac:dyDescent="0.15">
      <c r="A57" s="1288">
        <v>5.3</v>
      </c>
      <c r="B57" s="1289">
        <v>0.98733329999999997</v>
      </c>
      <c r="C57" s="1290">
        <v>4.6413333000000003</v>
      </c>
      <c r="D57" s="1291">
        <v>1.6020000000000001</v>
      </c>
      <c r="E57" s="1292">
        <v>0.97358829999999996</v>
      </c>
      <c r="F57" s="1293">
        <v>0.54178329999999997</v>
      </c>
      <c r="G57" s="1294">
        <v>8.5913900000000001E-2</v>
      </c>
      <c r="H57" s="1295">
        <v>3.4123399999999998E-2</v>
      </c>
      <c r="I57" s="1283">
        <v>1.17833E-2</v>
      </c>
      <c r="J57" s="1296">
        <v>5.9972000000000003E-3</v>
      </c>
      <c r="K57" s="1297">
        <v>4.7416999999999997E-3</v>
      </c>
      <c r="L57" s="1298">
        <v>8.8885977999999994</v>
      </c>
      <c r="M57" s="1299">
        <v>5.3</v>
      </c>
    </row>
    <row r="58" spans="1:13" ht="14" customHeight="1" x14ac:dyDescent="0.15">
      <c r="A58" s="1288">
        <v>5.4</v>
      </c>
      <c r="B58" s="1289">
        <v>0.98866670000000001</v>
      </c>
      <c r="C58" s="1300">
        <v>4.6773332999999999</v>
      </c>
      <c r="D58" s="1301">
        <v>1.6026667000000001</v>
      </c>
      <c r="E58" s="1292">
        <v>0.9745994</v>
      </c>
      <c r="F58" s="1302">
        <v>0.54376670000000005</v>
      </c>
      <c r="G58" s="1294">
        <v>8.6172200000000004E-2</v>
      </c>
      <c r="H58" s="1295">
        <v>3.4201200000000001E-2</v>
      </c>
      <c r="I58" s="1283">
        <v>1.18222E-2</v>
      </c>
      <c r="J58" s="1296">
        <v>6.0055999999999998E-3</v>
      </c>
      <c r="K58" s="1297">
        <v>4.7943999999999999E-3</v>
      </c>
      <c r="L58" s="1298">
        <v>8.9300283999999994</v>
      </c>
      <c r="M58" s="1299">
        <v>5.4</v>
      </c>
    </row>
    <row r="59" spans="1:13" ht="14" customHeight="1" x14ac:dyDescent="0.15">
      <c r="A59" s="1288">
        <v>5.5</v>
      </c>
      <c r="B59" s="1289">
        <v>0.99</v>
      </c>
      <c r="C59" s="1290">
        <v>4.7133333000000004</v>
      </c>
      <c r="D59" s="1291">
        <v>1.6033333000000001</v>
      </c>
      <c r="E59" s="1292">
        <v>0.97561050000000005</v>
      </c>
      <c r="F59" s="1293">
        <v>0.54574999999999996</v>
      </c>
      <c r="G59" s="1294">
        <v>8.6430599999999996E-2</v>
      </c>
      <c r="H59" s="1295">
        <v>3.4278999999999997E-2</v>
      </c>
      <c r="I59" s="1283">
        <v>1.1861099999999999E-2</v>
      </c>
      <c r="J59" s="1296">
        <v>6.0139E-3</v>
      </c>
      <c r="K59" s="1297">
        <v>4.8472000000000003E-3</v>
      </c>
      <c r="L59" s="1298">
        <v>8.9714589</v>
      </c>
      <c r="M59" s="1299">
        <v>5.5</v>
      </c>
    </row>
    <row r="60" spans="1:13" ht="14" customHeight="1" x14ac:dyDescent="0.15">
      <c r="A60" s="1288">
        <v>5.6</v>
      </c>
      <c r="B60" s="1289">
        <v>0.99133329999999997</v>
      </c>
      <c r="C60" s="1300">
        <v>4.7493333</v>
      </c>
      <c r="D60" s="1301">
        <v>1.6040000000000001</v>
      </c>
      <c r="E60" s="1292">
        <v>0.97662159999999998</v>
      </c>
      <c r="F60" s="1302">
        <v>0.54773329999999998</v>
      </c>
      <c r="G60" s="1294">
        <v>8.6688899999999999E-2</v>
      </c>
      <c r="H60" s="1295">
        <v>3.43568E-2</v>
      </c>
      <c r="I60" s="1283">
        <v>1.1900000000000001E-2</v>
      </c>
      <c r="J60" s="1296">
        <v>6.0222000000000001E-3</v>
      </c>
      <c r="K60" s="1297">
        <v>4.8999999999999998E-3</v>
      </c>
      <c r="L60" s="1298">
        <v>9.0128895</v>
      </c>
      <c r="M60" s="1299">
        <v>5.6</v>
      </c>
    </row>
    <row r="61" spans="1:13" ht="14" customHeight="1" x14ac:dyDescent="0.15">
      <c r="A61" s="1288">
        <v>5.7</v>
      </c>
      <c r="B61" s="1289">
        <v>0.99266670000000001</v>
      </c>
      <c r="C61" s="1290">
        <v>4.7853332999999996</v>
      </c>
      <c r="D61" s="1291">
        <v>1.6046666999999999</v>
      </c>
      <c r="E61" s="1292">
        <v>0.97763270000000002</v>
      </c>
      <c r="F61" s="1293">
        <v>0.54971669999999995</v>
      </c>
      <c r="G61" s="1294">
        <v>8.6947200000000002E-2</v>
      </c>
      <c r="H61" s="1295">
        <v>3.4434600000000003E-2</v>
      </c>
      <c r="I61" s="1283">
        <v>1.1938900000000001E-2</v>
      </c>
      <c r="J61" s="1296">
        <v>6.0305999999999997E-3</v>
      </c>
      <c r="K61" s="1297">
        <v>4.9528000000000003E-3</v>
      </c>
      <c r="L61" s="1298">
        <v>9.0543201</v>
      </c>
      <c r="M61" s="1299">
        <v>5.7</v>
      </c>
    </row>
    <row r="62" spans="1:13" ht="14" customHeight="1" x14ac:dyDescent="0.15">
      <c r="A62" s="1288">
        <v>5.8</v>
      </c>
      <c r="B62" s="1289">
        <v>0.99399999999999999</v>
      </c>
      <c r="C62" s="1300">
        <v>4.8213333</v>
      </c>
      <c r="D62" s="1301">
        <v>1.6053333000000001</v>
      </c>
      <c r="E62" s="1292">
        <v>0.97864379999999995</v>
      </c>
      <c r="F62" s="1302">
        <v>0.55169999999999997</v>
      </c>
      <c r="G62" s="1294">
        <v>8.7205599999999994E-2</v>
      </c>
      <c r="H62" s="1295">
        <v>3.4512399999999999E-2</v>
      </c>
      <c r="I62" s="1283">
        <v>1.19778E-2</v>
      </c>
      <c r="J62" s="1296">
        <v>6.0388999999999998E-3</v>
      </c>
      <c r="K62" s="1297">
        <v>5.0055999999999998E-3</v>
      </c>
      <c r="L62" s="1298">
        <v>9.0957506000000006</v>
      </c>
      <c r="M62" s="1299">
        <v>5.8</v>
      </c>
    </row>
    <row r="63" spans="1:13" ht="14" customHeight="1" x14ac:dyDescent="0.15">
      <c r="A63" s="1288">
        <v>5.9</v>
      </c>
      <c r="B63" s="1289">
        <v>0.99533329999999998</v>
      </c>
      <c r="C63" s="1290">
        <v>4.8573332999999996</v>
      </c>
      <c r="D63" s="1291">
        <v>1.6060000000000001</v>
      </c>
      <c r="E63" s="1292">
        <v>0.9796549</v>
      </c>
      <c r="F63" s="1293">
        <v>0.55368329999999999</v>
      </c>
      <c r="G63" s="1294">
        <v>8.7463899999999997E-2</v>
      </c>
      <c r="H63" s="1295">
        <v>3.4590200000000002E-2</v>
      </c>
      <c r="I63" s="1283">
        <v>1.20167E-2</v>
      </c>
      <c r="J63" s="1296">
        <v>6.0472E-3</v>
      </c>
      <c r="K63" s="1297">
        <v>5.0582999999999999E-3</v>
      </c>
      <c r="L63" s="1298">
        <v>9.1371812000000006</v>
      </c>
      <c r="M63" s="1299">
        <v>5.9</v>
      </c>
    </row>
    <row r="64" spans="1:13" ht="14" customHeight="1" x14ac:dyDescent="0.15">
      <c r="A64" s="1275">
        <v>6</v>
      </c>
      <c r="B64" s="1303">
        <v>0.99666670000000002</v>
      </c>
      <c r="C64" s="1300">
        <v>4.8933333000000001</v>
      </c>
      <c r="D64" s="1301">
        <v>1.6066666999999999</v>
      </c>
      <c r="E64" s="1292">
        <v>0.98066600000000004</v>
      </c>
      <c r="F64" s="1302">
        <v>0.55566669999999996</v>
      </c>
      <c r="G64" s="1294">
        <v>8.77222E-2</v>
      </c>
      <c r="H64" s="1304">
        <v>3.4667999999999997E-2</v>
      </c>
      <c r="I64" s="1305">
        <v>1.20556E-2</v>
      </c>
      <c r="J64" s="1296">
        <v>6.0556000000000004E-3</v>
      </c>
      <c r="K64" s="1297">
        <v>5.1111000000000004E-3</v>
      </c>
      <c r="L64" s="1298">
        <v>9.1786118000000005</v>
      </c>
      <c r="M64" s="1287">
        <v>6</v>
      </c>
    </row>
    <row r="65" spans="1:13" ht="14" customHeight="1" x14ac:dyDescent="0.15">
      <c r="A65" s="1288">
        <v>6.1</v>
      </c>
      <c r="B65" s="1289">
        <v>0.998</v>
      </c>
      <c r="C65" s="1290">
        <v>4.9293332999999997</v>
      </c>
      <c r="D65" s="1291">
        <v>1.6073333000000001</v>
      </c>
      <c r="E65" s="1292">
        <v>0.98167709999999997</v>
      </c>
      <c r="F65" s="1293">
        <v>0.55764999999999998</v>
      </c>
      <c r="G65" s="1294">
        <v>8.7980600000000006E-2</v>
      </c>
      <c r="H65" s="1295">
        <v>3.47458E-2</v>
      </c>
      <c r="I65" s="1283">
        <v>1.20944E-2</v>
      </c>
      <c r="J65" s="1296">
        <v>6.0638999999999997E-3</v>
      </c>
      <c r="K65" s="1297">
        <v>5.1638999999999999E-3</v>
      </c>
      <c r="L65" s="1298">
        <v>9.2200422999999994</v>
      </c>
      <c r="M65" s="1299">
        <v>6.1</v>
      </c>
    </row>
    <row r="66" spans="1:13" ht="14" customHeight="1" x14ac:dyDescent="0.15">
      <c r="A66" s="1288">
        <v>6.2</v>
      </c>
      <c r="B66" s="1289">
        <v>0.99933329999999998</v>
      </c>
      <c r="C66" s="1300">
        <v>4.9653333000000002</v>
      </c>
      <c r="D66" s="1301">
        <v>1.6080000000000001</v>
      </c>
      <c r="E66" s="1292">
        <v>0.98268820000000001</v>
      </c>
      <c r="F66" s="1302">
        <v>0.5596333</v>
      </c>
      <c r="G66" s="1294">
        <v>8.8238899999999995E-2</v>
      </c>
      <c r="H66" s="1295">
        <v>3.4823600000000003E-2</v>
      </c>
      <c r="I66" s="1283">
        <v>1.21333E-2</v>
      </c>
      <c r="J66" s="1296">
        <v>6.0721999999999998E-3</v>
      </c>
      <c r="K66" s="1297">
        <v>5.2167000000000003E-3</v>
      </c>
      <c r="L66" s="1298">
        <v>9.2614728999999993</v>
      </c>
      <c r="M66" s="1299">
        <v>6.2</v>
      </c>
    </row>
    <row r="67" spans="1:13" ht="14" customHeight="1" x14ac:dyDescent="0.15">
      <c r="A67" s="1288">
        <v>6.3</v>
      </c>
      <c r="B67" s="1289">
        <v>1.0006667</v>
      </c>
      <c r="C67" s="1290">
        <v>5.0013332999999998</v>
      </c>
      <c r="D67" s="1291">
        <v>1.6086666999999999</v>
      </c>
      <c r="E67" s="1292">
        <v>0.98369930000000005</v>
      </c>
      <c r="F67" s="1293">
        <v>0.56161669999999997</v>
      </c>
      <c r="G67" s="1294">
        <v>8.8497199999999998E-2</v>
      </c>
      <c r="H67" s="1295">
        <v>3.4901399999999999E-2</v>
      </c>
      <c r="I67" s="1283">
        <v>1.2172199999999999E-2</v>
      </c>
      <c r="J67" s="1296">
        <v>6.0806000000000002E-3</v>
      </c>
      <c r="K67" s="1297">
        <v>5.2693999999999996E-3</v>
      </c>
      <c r="L67" s="1298">
        <v>9.3029034999999993</v>
      </c>
      <c r="M67" s="1299">
        <v>6.3</v>
      </c>
    </row>
    <row r="68" spans="1:13" ht="14" customHeight="1" x14ac:dyDescent="0.15">
      <c r="A68" s="1288">
        <v>6.4</v>
      </c>
      <c r="B68" s="1289">
        <v>1.002</v>
      </c>
      <c r="C68" s="1300">
        <v>5.0373333000000002</v>
      </c>
      <c r="D68" s="1301">
        <v>1.6093333000000001</v>
      </c>
      <c r="E68" s="1292">
        <v>0.98471039999999999</v>
      </c>
      <c r="F68" s="1302">
        <v>0.56359999999999999</v>
      </c>
      <c r="G68" s="1294">
        <v>8.8755600000000004E-2</v>
      </c>
      <c r="H68" s="1295">
        <v>3.4979200000000002E-2</v>
      </c>
      <c r="I68" s="1283">
        <v>1.2211100000000001E-2</v>
      </c>
      <c r="J68" s="1296">
        <v>6.0889000000000004E-3</v>
      </c>
      <c r="K68" s="1297">
        <v>5.3222E-3</v>
      </c>
      <c r="L68" s="1298">
        <v>9.3443339999999999</v>
      </c>
      <c r="M68" s="1299">
        <v>6.4</v>
      </c>
    </row>
    <row r="69" spans="1:13" ht="14" customHeight="1" x14ac:dyDescent="0.15">
      <c r="A69" s="1288">
        <v>6.5</v>
      </c>
      <c r="B69" s="1289">
        <v>1.0033333</v>
      </c>
      <c r="C69" s="1290">
        <v>5.0733332999999998</v>
      </c>
      <c r="D69" s="1291">
        <v>1.61</v>
      </c>
      <c r="E69" s="1292">
        <v>0.98572150000000003</v>
      </c>
      <c r="F69" s="1293">
        <v>0.56558330000000001</v>
      </c>
      <c r="G69" s="1294">
        <v>8.9013900000000007E-2</v>
      </c>
      <c r="H69" s="1295">
        <v>3.5056999999999998E-2</v>
      </c>
      <c r="I69" s="1283">
        <v>1.225E-2</v>
      </c>
      <c r="J69" s="1296">
        <v>6.0971999999999997E-3</v>
      </c>
      <c r="K69" s="1297">
        <v>5.3749999999999996E-3</v>
      </c>
      <c r="L69" s="1298">
        <v>9.3857645999999999</v>
      </c>
      <c r="M69" s="1299">
        <v>6.5</v>
      </c>
    </row>
    <row r="70" spans="1:13" ht="14" customHeight="1" x14ac:dyDescent="0.15">
      <c r="A70" s="1288">
        <v>6.6</v>
      </c>
      <c r="B70" s="1289">
        <v>1.0046667</v>
      </c>
      <c r="C70" s="1300">
        <v>5.1093333000000003</v>
      </c>
      <c r="D70" s="1301">
        <v>1.6106666999999999</v>
      </c>
      <c r="E70" s="1292">
        <v>0.98673259999999996</v>
      </c>
      <c r="F70" s="1302">
        <v>0.56756669999999998</v>
      </c>
      <c r="G70" s="1294">
        <v>8.9272199999999996E-2</v>
      </c>
      <c r="H70" s="1295">
        <v>3.5134800000000001E-2</v>
      </c>
      <c r="I70" s="1283">
        <v>1.22889E-2</v>
      </c>
      <c r="J70" s="1296">
        <v>6.1056000000000001E-3</v>
      </c>
      <c r="K70" s="1297">
        <v>5.4278E-3</v>
      </c>
      <c r="L70" s="1298">
        <v>9.4271951999999999</v>
      </c>
      <c r="M70" s="1299">
        <v>6.6</v>
      </c>
    </row>
    <row r="71" spans="1:13" ht="14" customHeight="1" x14ac:dyDescent="0.15">
      <c r="A71" s="1288">
        <v>6.7</v>
      </c>
      <c r="B71" s="1289">
        <v>1.006</v>
      </c>
      <c r="C71" s="1290">
        <v>5.1453332999999999</v>
      </c>
      <c r="D71" s="1291">
        <v>1.6113333000000001</v>
      </c>
      <c r="E71" s="1292">
        <v>0.9877437</v>
      </c>
      <c r="F71" s="1293">
        <v>0.56955</v>
      </c>
      <c r="G71" s="1294">
        <v>8.9530600000000002E-2</v>
      </c>
      <c r="H71" s="1295">
        <v>3.5212599999999997E-2</v>
      </c>
      <c r="I71" s="1283">
        <v>1.23278E-2</v>
      </c>
      <c r="J71" s="1296">
        <v>6.1139000000000002E-3</v>
      </c>
      <c r="K71" s="1297">
        <v>5.4806000000000004E-3</v>
      </c>
      <c r="L71" s="1298">
        <v>9.4686257000000005</v>
      </c>
      <c r="M71" s="1299">
        <v>6.7</v>
      </c>
    </row>
    <row r="72" spans="1:13" ht="14" customHeight="1" x14ac:dyDescent="0.15">
      <c r="A72" s="1288">
        <v>6.8</v>
      </c>
      <c r="B72" s="1289">
        <v>1.0073333</v>
      </c>
      <c r="C72" s="1300">
        <v>5.1813333000000004</v>
      </c>
      <c r="D72" s="1301">
        <v>1.6120000000000001</v>
      </c>
      <c r="E72" s="1292">
        <v>0.98875480000000004</v>
      </c>
      <c r="F72" s="1302">
        <v>0.57153330000000002</v>
      </c>
      <c r="G72" s="1294">
        <v>8.9788900000000005E-2</v>
      </c>
      <c r="H72" s="1295">
        <v>3.52904E-2</v>
      </c>
      <c r="I72" s="1283">
        <v>1.23667E-2</v>
      </c>
      <c r="J72" s="1296">
        <v>6.1222000000000004E-3</v>
      </c>
      <c r="K72" s="1297">
        <v>5.5332999999999997E-3</v>
      </c>
      <c r="L72" s="1298">
        <v>9.5100563000000005</v>
      </c>
      <c r="M72" s="1299">
        <v>6.8</v>
      </c>
    </row>
    <row r="73" spans="1:13" ht="14" customHeight="1" x14ac:dyDescent="0.15">
      <c r="A73" s="1288">
        <v>6.9</v>
      </c>
      <c r="B73" s="1289">
        <v>1.0086667</v>
      </c>
      <c r="C73" s="1290">
        <v>5.2173333</v>
      </c>
      <c r="D73" s="1291">
        <v>1.6126666999999999</v>
      </c>
      <c r="E73" s="1292">
        <v>0.98976589999999998</v>
      </c>
      <c r="F73" s="1293">
        <v>0.57351669999999999</v>
      </c>
      <c r="G73" s="1294">
        <v>9.0047199999999994E-2</v>
      </c>
      <c r="H73" s="1295">
        <v>3.5368200000000002E-2</v>
      </c>
      <c r="I73" s="1283">
        <v>1.2405599999999999E-2</v>
      </c>
      <c r="J73" s="1296">
        <v>6.1305999999999999E-3</v>
      </c>
      <c r="K73" s="1297">
        <v>5.5861000000000001E-3</v>
      </c>
      <c r="L73" s="1298">
        <v>9.5514869000000004</v>
      </c>
      <c r="M73" s="1299">
        <v>6.9</v>
      </c>
    </row>
    <row r="74" spans="1:13" ht="14" customHeight="1" x14ac:dyDescent="0.15">
      <c r="A74" s="1275">
        <v>7</v>
      </c>
      <c r="B74" s="1303">
        <v>1.01</v>
      </c>
      <c r="C74" s="1300">
        <v>5.2533333000000004</v>
      </c>
      <c r="D74" s="1301">
        <v>1.6133333000000001</v>
      </c>
      <c r="E74" s="1292">
        <v>0.99077700000000002</v>
      </c>
      <c r="F74" s="1302">
        <v>0.57550000000000001</v>
      </c>
      <c r="G74" s="1294">
        <v>9.03056E-2</v>
      </c>
      <c r="H74" s="1304">
        <v>3.5445999999999998E-2</v>
      </c>
      <c r="I74" s="1305">
        <v>1.24444E-2</v>
      </c>
      <c r="J74" s="1296">
        <v>6.1389000000000001E-3</v>
      </c>
      <c r="K74" s="1297">
        <v>5.6388999999999996E-3</v>
      </c>
      <c r="L74" s="1298">
        <v>9.5929173999999993</v>
      </c>
      <c r="M74" s="1287">
        <v>7</v>
      </c>
    </row>
    <row r="75" spans="1:13" ht="14" customHeight="1" x14ac:dyDescent="0.15">
      <c r="A75" s="1288">
        <v>7.1</v>
      </c>
      <c r="B75" s="1289">
        <v>1.0113333</v>
      </c>
      <c r="C75" s="1290">
        <v>5.2893333</v>
      </c>
      <c r="D75" s="1291">
        <v>1.6140000000000001</v>
      </c>
      <c r="E75" s="1292">
        <v>0.99178809999999995</v>
      </c>
      <c r="F75" s="1293">
        <v>0.57748330000000003</v>
      </c>
      <c r="G75" s="1294">
        <v>9.0563900000000003E-2</v>
      </c>
      <c r="H75" s="1295">
        <v>3.5523800000000001E-2</v>
      </c>
      <c r="I75" s="1283">
        <v>1.2483299999999999E-2</v>
      </c>
      <c r="J75" s="1296">
        <v>6.1472000000000002E-3</v>
      </c>
      <c r="K75" s="1297">
        <v>5.6917000000000001E-3</v>
      </c>
      <c r="L75" s="1298">
        <v>9.6343479999999992</v>
      </c>
      <c r="M75" s="1299">
        <v>7.1</v>
      </c>
    </row>
    <row r="76" spans="1:13" ht="14" customHeight="1" x14ac:dyDescent="0.15">
      <c r="A76" s="1288">
        <v>7.2</v>
      </c>
      <c r="B76" s="1289">
        <v>1.0126667</v>
      </c>
      <c r="C76" s="1300">
        <v>5.3253332999999996</v>
      </c>
      <c r="D76" s="1301">
        <v>1.6146666999999999</v>
      </c>
      <c r="E76" s="1292">
        <v>0.99279919999999999</v>
      </c>
      <c r="F76" s="1302">
        <v>0.5794667</v>
      </c>
      <c r="G76" s="1294">
        <v>9.0822200000000006E-2</v>
      </c>
      <c r="H76" s="1295">
        <v>3.5601599999999997E-2</v>
      </c>
      <c r="I76" s="1283">
        <v>1.2522200000000001E-2</v>
      </c>
      <c r="J76" s="1296">
        <v>6.1555999999999998E-3</v>
      </c>
      <c r="K76" s="1297">
        <v>5.7444000000000002E-3</v>
      </c>
      <c r="L76" s="1298">
        <v>9.6757785999999992</v>
      </c>
      <c r="M76" s="1299">
        <v>7.2</v>
      </c>
    </row>
    <row r="77" spans="1:13" ht="14" customHeight="1" x14ac:dyDescent="0.15">
      <c r="A77" s="1288">
        <v>7.3</v>
      </c>
      <c r="B77" s="1289">
        <v>1.014</v>
      </c>
      <c r="C77" s="1290">
        <v>5.3613333000000001</v>
      </c>
      <c r="D77" s="1291">
        <v>1.6153333000000001</v>
      </c>
      <c r="E77" s="1292">
        <v>0.99381030000000004</v>
      </c>
      <c r="F77" s="1293">
        <v>0.58145000000000002</v>
      </c>
      <c r="G77" s="1294">
        <v>9.1080599999999998E-2</v>
      </c>
      <c r="H77" s="1295">
        <v>3.56794E-2</v>
      </c>
      <c r="I77" s="1283">
        <v>1.25611E-2</v>
      </c>
      <c r="J77" s="1296">
        <v>6.1638999999999999E-3</v>
      </c>
      <c r="K77" s="1297">
        <v>5.7971999999999997E-3</v>
      </c>
      <c r="L77" s="1298">
        <v>9.7172090999999998</v>
      </c>
      <c r="M77" s="1299">
        <v>7.3</v>
      </c>
    </row>
    <row r="78" spans="1:13" ht="14" customHeight="1" x14ac:dyDescent="0.15">
      <c r="A78" s="1288">
        <v>7.4</v>
      </c>
      <c r="B78" s="1289">
        <v>1.0153333</v>
      </c>
      <c r="C78" s="1300">
        <v>5.3973332999999997</v>
      </c>
      <c r="D78" s="1301">
        <v>1.6160000000000001</v>
      </c>
      <c r="E78" s="1292">
        <v>0.99482139999999997</v>
      </c>
      <c r="F78" s="1302">
        <v>0.58343330000000004</v>
      </c>
      <c r="G78" s="1294">
        <v>9.1338900000000001E-2</v>
      </c>
      <c r="H78" s="1295">
        <v>3.5757200000000003E-2</v>
      </c>
      <c r="I78" s="1283">
        <v>1.26E-2</v>
      </c>
      <c r="J78" s="1296">
        <v>6.1722000000000001E-3</v>
      </c>
      <c r="K78" s="1297">
        <v>5.8500000000000002E-3</v>
      </c>
      <c r="L78" s="1298">
        <v>9.7586396999999998</v>
      </c>
      <c r="M78" s="1299">
        <v>7.4</v>
      </c>
    </row>
    <row r="79" spans="1:13" ht="14" customHeight="1" x14ac:dyDescent="0.15">
      <c r="A79" s="1288">
        <v>7.5</v>
      </c>
      <c r="B79" s="1289">
        <v>1.0166667</v>
      </c>
      <c r="C79" s="1290">
        <v>5.4333333000000001</v>
      </c>
      <c r="D79" s="1291">
        <v>1.6166666999999999</v>
      </c>
      <c r="E79" s="1292">
        <v>0.99583250000000001</v>
      </c>
      <c r="F79" s="1293">
        <v>0.58541670000000001</v>
      </c>
      <c r="G79" s="1294">
        <v>9.1597200000000004E-2</v>
      </c>
      <c r="H79" s="1295">
        <v>3.5834999999999999E-2</v>
      </c>
      <c r="I79" s="1283">
        <v>1.26389E-2</v>
      </c>
      <c r="J79" s="1296">
        <v>6.1805999999999996E-3</v>
      </c>
      <c r="K79" s="1297">
        <v>5.9027999999999997E-3</v>
      </c>
      <c r="L79" s="1298">
        <v>9.8000702999999998</v>
      </c>
      <c r="M79" s="1299">
        <v>7.5</v>
      </c>
    </row>
    <row r="80" spans="1:13" ht="14" customHeight="1" x14ac:dyDescent="0.15">
      <c r="A80" s="1288">
        <v>7.6</v>
      </c>
      <c r="B80" s="1289">
        <v>1.018</v>
      </c>
      <c r="C80" s="1300">
        <v>5.4693332999999997</v>
      </c>
      <c r="D80" s="1301">
        <v>1.6173333000000001</v>
      </c>
      <c r="E80" s="1292">
        <v>0.99684360000000005</v>
      </c>
      <c r="F80" s="1302">
        <v>0.58740000000000003</v>
      </c>
      <c r="G80" s="1294">
        <v>9.1855599999999996E-2</v>
      </c>
      <c r="H80" s="1295">
        <v>3.5912800000000002E-2</v>
      </c>
      <c r="I80" s="1283">
        <v>1.2677799999999999E-2</v>
      </c>
      <c r="J80" s="1296">
        <v>6.1888999999999998E-3</v>
      </c>
      <c r="K80" s="1297">
        <v>5.9556000000000001E-3</v>
      </c>
      <c r="L80" s="1298">
        <v>9.8415008000000004</v>
      </c>
      <c r="M80" s="1299">
        <v>7.6</v>
      </c>
    </row>
    <row r="81" spans="1:13" ht="14" customHeight="1" x14ac:dyDescent="0.15">
      <c r="A81" s="1288">
        <v>7.7</v>
      </c>
      <c r="B81" s="1289">
        <v>1.0193333</v>
      </c>
      <c r="C81" s="1290">
        <v>5.5053333000000002</v>
      </c>
      <c r="D81" s="1291">
        <v>1.6180000000000001</v>
      </c>
      <c r="E81" s="1292">
        <v>0.99785469999999998</v>
      </c>
      <c r="F81" s="1293">
        <v>0.58938330000000005</v>
      </c>
      <c r="G81" s="1294">
        <v>9.2113899999999999E-2</v>
      </c>
      <c r="H81" s="1295">
        <v>3.5990599999999998E-2</v>
      </c>
      <c r="I81" s="1283">
        <v>1.2716699999999999E-2</v>
      </c>
      <c r="J81" s="1296">
        <v>6.1971999999999999E-3</v>
      </c>
      <c r="K81" s="1297">
        <v>6.0083000000000003E-3</v>
      </c>
      <c r="L81" s="1298">
        <v>9.8829314000000004</v>
      </c>
      <c r="M81" s="1299">
        <v>7.7</v>
      </c>
    </row>
    <row r="82" spans="1:13" ht="14" customHeight="1" x14ac:dyDescent="0.15">
      <c r="A82" s="1288">
        <v>7.8</v>
      </c>
      <c r="B82" s="1289">
        <v>1.0206667</v>
      </c>
      <c r="C82" s="1300">
        <v>5.5413332999999998</v>
      </c>
      <c r="D82" s="1301">
        <v>1.6186666999999999</v>
      </c>
      <c r="E82" s="1292">
        <v>0.99886580000000003</v>
      </c>
      <c r="F82" s="1302">
        <v>0.59136670000000002</v>
      </c>
      <c r="G82" s="1294">
        <v>9.2372200000000002E-2</v>
      </c>
      <c r="H82" s="1295">
        <v>3.60684E-2</v>
      </c>
      <c r="I82" s="1283">
        <v>1.2755600000000001E-2</v>
      </c>
      <c r="J82" s="1296">
        <v>6.2056000000000004E-3</v>
      </c>
      <c r="K82" s="1297">
        <v>6.0610999999999998E-3</v>
      </c>
      <c r="L82" s="1298">
        <v>9.9243618999999992</v>
      </c>
      <c r="M82" s="1299">
        <v>7.8</v>
      </c>
    </row>
    <row r="83" spans="1:13" ht="14" customHeight="1" x14ac:dyDescent="0.15">
      <c r="A83" s="1288">
        <v>7.9</v>
      </c>
      <c r="B83" s="1289">
        <v>1.022</v>
      </c>
      <c r="C83" s="1290">
        <v>5.5773333000000003</v>
      </c>
      <c r="D83" s="1291">
        <v>1.6193333000000001</v>
      </c>
      <c r="E83" s="1292">
        <v>0.99987689999999996</v>
      </c>
      <c r="F83" s="1293">
        <v>0.59335000000000004</v>
      </c>
      <c r="G83" s="1294">
        <v>9.2630599999999993E-2</v>
      </c>
      <c r="H83" s="1295">
        <v>3.6146200000000003E-2</v>
      </c>
      <c r="I83" s="1283">
        <v>1.2794399999999999E-2</v>
      </c>
      <c r="J83" s="1296">
        <v>6.2138999999999996E-3</v>
      </c>
      <c r="K83" s="1297">
        <v>6.1139000000000002E-3</v>
      </c>
      <c r="L83" s="1298">
        <v>9.9657924999999992</v>
      </c>
      <c r="M83" s="1299">
        <v>7.9</v>
      </c>
    </row>
    <row r="84" spans="1:13" ht="14" customHeight="1" x14ac:dyDescent="0.15">
      <c r="A84" s="1275">
        <v>8</v>
      </c>
      <c r="B84" s="1306">
        <v>1.0233333</v>
      </c>
      <c r="C84" s="1277">
        <v>5.6133332999999999</v>
      </c>
      <c r="D84" s="1278">
        <v>1.62</v>
      </c>
      <c r="E84" s="1279">
        <v>1.000888</v>
      </c>
      <c r="F84" s="1280">
        <v>0.59533329999999995</v>
      </c>
      <c r="G84" s="1281">
        <v>9.2888899999999996E-2</v>
      </c>
      <c r="H84" s="1307">
        <v>3.6223999999999999E-2</v>
      </c>
      <c r="I84" s="1305">
        <v>1.2833300000000001E-2</v>
      </c>
      <c r="J84" s="1284">
        <v>6.2221999999999998E-3</v>
      </c>
      <c r="K84" s="1285">
        <v>6.1666999999999998E-3</v>
      </c>
      <c r="L84" s="1286">
        <v>10.007223099999999</v>
      </c>
      <c r="M84" s="1287">
        <v>8</v>
      </c>
    </row>
    <row r="85" spans="1:13" ht="14" customHeight="1" x14ac:dyDescent="0.15">
      <c r="A85" s="1288">
        <v>8.1</v>
      </c>
      <c r="B85" s="1289">
        <v>1.0246667</v>
      </c>
      <c r="C85" s="1290">
        <v>5.6493333000000003</v>
      </c>
      <c r="D85" s="1291">
        <v>1.6206666999999999</v>
      </c>
      <c r="E85" s="1292">
        <v>1.0018990999999999</v>
      </c>
      <c r="F85" s="1293">
        <v>0.59731670000000003</v>
      </c>
      <c r="G85" s="1294">
        <v>9.3147199999999999E-2</v>
      </c>
      <c r="H85" s="1295">
        <v>3.6301800000000002E-2</v>
      </c>
      <c r="I85" s="1283">
        <v>1.28722E-2</v>
      </c>
      <c r="J85" s="1296">
        <v>6.2306000000000002E-3</v>
      </c>
      <c r="K85" s="1297">
        <v>6.2193999999999999E-3</v>
      </c>
      <c r="L85" s="1298">
        <v>10.0486536</v>
      </c>
      <c r="M85" s="1299">
        <v>8.1</v>
      </c>
    </row>
    <row r="86" spans="1:13" ht="14" customHeight="1" x14ac:dyDescent="0.15">
      <c r="A86" s="1288">
        <v>8.1999999999999993</v>
      </c>
      <c r="B86" s="1289">
        <v>1.026</v>
      </c>
      <c r="C86" s="1300">
        <v>5.6853332999999999</v>
      </c>
      <c r="D86" s="1301">
        <v>1.6213333000000001</v>
      </c>
      <c r="E86" s="1292">
        <v>1.0029102000000001</v>
      </c>
      <c r="F86" s="1302">
        <v>0.59930000000000005</v>
      </c>
      <c r="G86" s="1294">
        <v>9.3405600000000005E-2</v>
      </c>
      <c r="H86" s="1295">
        <v>3.6379599999999998E-2</v>
      </c>
      <c r="I86" s="1283">
        <v>1.29111E-2</v>
      </c>
      <c r="J86" s="1296">
        <v>6.2389000000000003E-3</v>
      </c>
      <c r="K86" s="1297">
        <v>6.2722000000000003E-3</v>
      </c>
      <c r="L86" s="1298">
        <v>10.0900842</v>
      </c>
      <c r="M86" s="1299">
        <v>8.1999999999999993</v>
      </c>
    </row>
    <row r="87" spans="1:13" ht="14" customHeight="1" x14ac:dyDescent="0.15">
      <c r="A87" s="1288">
        <v>8.3000000000000007</v>
      </c>
      <c r="B87" s="1289">
        <v>1.0273333</v>
      </c>
      <c r="C87" s="1290">
        <v>5.7213333000000004</v>
      </c>
      <c r="D87" s="1291">
        <v>1.6220000000000001</v>
      </c>
      <c r="E87" s="1292">
        <v>1.0039213</v>
      </c>
      <c r="F87" s="1293">
        <v>0.60128329999999997</v>
      </c>
      <c r="G87" s="1294">
        <v>9.3663899999999994E-2</v>
      </c>
      <c r="H87" s="1295">
        <v>3.6457400000000001E-2</v>
      </c>
      <c r="I87" s="1283">
        <v>1.295E-2</v>
      </c>
      <c r="J87" s="1296">
        <v>6.2471999999999996E-3</v>
      </c>
      <c r="K87" s="1297">
        <v>6.3249999999999999E-3</v>
      </c>
      <c r="L87" s="1298">
        <v>10.1315148</v>
      </c>
      <c r="M87" s="1299">
        <v>8.3000000000000007</v>
      </c>
    </row>
    <row r="88" spans="1:13" ht="14" customHeight="1" x14ac:dyDescent="0.15">
      <c r="A88" s="1288">
        <v>8.4</v>
      </c>
      <c r="B88" s="1289">
        <v>1.0286667</v>
      </c>
      <c r="C88" s="1300">
        <v>5.7573333</v>
      </c>
      <c r="D88" s="1301">
        <v>1.6226666999999999</v>
      </c>
      <c r="E88" s="1292">
        <v>1.0049323999999999</v>
      </c>
      <c r="F88" s="1302">
        <v>0.60326670000000004</v>
      </c>
      <c r="G88" s="1294">
        <v>9.3922199999999997E-2</v>
      </c>
      <c r="H88" s="1295">
        <v>3.6535199999999997E-2</v>
      </c>
      <c r="I88" s="1283">
        <v>1.2988899999999999E-2</v>
      </c>
      <c r="J88" s="1296">
        <v>6.2556E-3</v>
      </c>
      <c r="K88" s="1297">
        <v>6.3778000000000003E-3</v>
      </c>
      <c r="L88" s="1298">
        <v>10.1729453</v>
      </c>
      <c r="M88" s="1299">
        <v>8.4</v>
      </c>
    </row>
    <row r="89" spans="1:13" ht="14" customHeight="1" x14ac:dyDescent="0.15">
      <c r="A89" s="1288">
        <v>8.5</v>
      </c>
      <c r="B89" s="1289">
        <v>1.03</v>
      </c>
      <c r="C89" s="1290">
        <v>5.7933332999999996</v>
      </c>
      <c r="D89" s="1291">
        <v>1.6233333000000001</v>
      </c>
      <c r="E89" s="1292">
        <v>1.0059435000000001</v>
      </c>
      <c r="F89" s="1293">
        <v>0.60524999999999995</v>
      </c>
      <c r="G89" s="1294">
        <v>9.4180600000000003E-2</v>
      </c>
      <c r="H89" s="1295">
        <v>3.6613E-2</v>
      </c>
      <c r="I89" s="1283">
        <v>1.3027800000000001E-2</v>
      </c>
      <c r="J89" s="1296">
        <v>6.2639000000000002E-3</v>
      </c>
      <c r="K89" s="1297">
        <v>6.4305999999999999E-3</v>
      </c>
      <c r="L89" s="1298">
        <v>10.2143759</v>
      </c>
      <c r="M89" s="1299">
        <v>8.5</v>
      </c>
    </row>
    <row r="90" spans="1:13" ht="14" customHeight="1" x14ac:dyDescent="0.15">
      <c r="A90" s="1288">
        <v>8.6</v>
      </c>
      <c r="B90" s="1289">
        <v>1.0313333</v>
      </c>
      <c r="C90" s="1300">
        <v>5.8293333000000001</v>
      </c>
      <c r="D90" s="1301">
        <v>1.6240000000000001</v>
      </c>
      <c r="E90" s="1292">
        <v>1.0069546</v>
      </c>
      <c r="F90" s="1302">
        <v>0.60723329999999998</v>
      </c>
      <c r="G90" s="1294">
        <v>9.4438900000000006E-2</v>
      </c>
      <c r="H90" s="1295">
        <v>3.6690800000000003E-2</v>
      </c>
      <c r="I90" s="1283">
        <v>1.3066700000000001E-2</v>
      </c>
      <c r="J90" s="1296">
        <v>6.2722000000000003E-3</v>
      </c>
      <c r="K90" s="1297">
        <v>6.4833E-3</v>
      </c>
      <c r="L90" s="1298">
        <v>10.2558065</v>
      </c>
      <c r="M90" s="1299">
        <v>8.6</v>
      </c>
    </row>
    <row r="91" spans="1:13" ht="14" customHeight="1" x14ac:dyDescent="0.15">
      <c r="A91" s="1288">
        <v>8.6999999999999993</v>
      </c>
      <c r="B91" s="1289">
        <v>1.0326667</v>
      </c>
      <c r="C91" s="1290">
        <v>5.8653332999999996</v>
      </c>
      <c r="D91" s="1291">
        <v>1.6246666999999999</v>
      </c>
      <c r="E91" s="1292">
        <v>1.0079657</v>
      </c>
      <c r="F91" s="1293">
        <v>0.60921670000000006</v>
      </c>
      <c r="G91" s="1294">
        <v>9.4697199999999995E-2</v>
      </c>
      <c r="H91" s="1295">
        <v>3.6768599999999999E-2</v>
      </c>
      <c r="I91" s="1283">
        <v>1.31056E-2</v>
      </c>
      <c r="J91" s="1296">
        <v>6.2805999999999999E-3</v>
      </c>
      <c r="K91" s="1297">
        <v>6.5361000000000004E-3</v>
      </c>
      <c r="L91" s="1298">
        <v>10.297237000000001</v>
      </c>
      <c r="M91" s="1299">
        <v>8.6999999999999993</v>
      </c>
    </row>
    <row r="92" spans="1:13" ht="14" customHeight="1" x14ac:dyDescent="0.15">
      <c r="A92" s="1288">
        <v>8.8000000000000007</v>
      </c>
      <c r="B92" s="1289">
        <v>1.034</v>
      </c>
      <c r="C92" s="1300">
        <v>5.9013333000000001</v>
      </c>
      <c r="D92" s="1301">
        <v>1.6253333000000001</v>
      </c>
      <c r="E92" s="1292">
        <v>1.0089767999999999</v>
      </c>
      <c r="F92" s="1302">
        <v>0.61119999999999997</v>
      </c>
      <c r="G92" s="1294">
        <v>9.4955600000000001E-2</v>
      </c>
      <c r="H92" s="1295">
        <v>3.6846400000000001E-2</v>
      </c>
      <c r="I92" s="1283">
        <v>1.3144400000000001E-2</v>
      </c>
      <c r="J92" s="1296">
        <v>6.2889E-3</v>
      </c>
      <c r="K92" s="1297">
        <v>6.5889E-3</v>
      </c>
      <c r="L92" s="1298">
        <v>10.338667600000001</v>
      </c>
      <c r="M92" s="1299">
        <v>8.8000000000000007</v>
      </c>
    </row>
    <row r="93" spans="1:13" ht="14" customHeight="1" x14ac:dyDescent="0.15">
      <c r="A93" s="1288">
        <v>8.9</v>
      </c>
      <c r="B93" s="1289">
        <v>1.0353333</v>
      </c>
      <c r="C93" s="1290">
        <v>5.9373332999999997</v>
      </c>
      <c r="D93" s="1291">
        <v>1.6259999999999999</v>
      </c>
      <c r="E93" s="1292">
        <v>1.0099879</v>
      </c>
      <c r="F93" s="1293">
        <v>0.61318329999999999</v>
      </c>
      <c r="G93" s="1294">
        <v>9.5213900000000004E-2</v>
      </c>
      <c r="H93" s="1295">
        <v>3.6924199999999997E-2</v>
      </c>
      <c r="I93" s="1283">
        <v>1.31833E-2</v>
      </c>
      <c r="J93" s="1296">
        <v>6.2972000000000002E-3</v>
      </c>
      <c r="K93" s="1297">
        <v>6.6417000000000004E-3</v>
      </c>
      <c r="L93" s="1298">
        <v>10.380098200000001</v>
      </c>
      <c r="M93" s="1299">
        <v>8.9</v>
      </c>
    </row>
    <row r="94" spans="1:13" ht="14" customHeight="1" x14ac:dyDescent="0.15">
      <c r="A94" s="1275">
        <v>9</v>
      </c>
      <c r="B94" s="1306">
        <v>1.0366667000000001</v>
      </c>
      <c r="C94" s="1277">
        <v>5.9733333000000002</v>
      </c>
      <c r="D94" s="1278">
        <v>1.6266666999999999</v>
      </c>
      <c r="E94" s="1279">
        <v>1.010999</v>
      </c>
      <c r="F94" s="1280">
        <v>0.61516669999999996</v>
      </c>
      <c r="G94" s="1281">
        <v>9.5472199999999993E-2</v>
      </c>
      <c r="H94" s="1307">
        <v>3.7002E-2</v>
      </c>
      <c r="I94" s="1305">
        <v>1.32222E-2</v>
      </c>
      <c r="J94" s="1284">
        <v>6.3055999999999997E-3</v>
      </c>
      <c r="K94" s="1285">
        <v>6.6943999999999997E-3</v>
      </c>
      <c r="L94" s="1286">
        <v>10.4215287</v>
      </c>
      <c r="M94" s="1287">
        <v>9</v>
      </c>
    </row>
    <row r="95" spans="1:13" ht="14" customHeight="1" x14ac:dyDescent="0.15">
      <c r="A95" s="1288">
        <v>9.1</v>
      </c>
      <c r="B95" s="1289">
        <v>1.038</v>
      </c>
      <c r="C95" s="1290">
        <v>6.0093332999999998</v>
      </c>
      <c r="D95" s="1291">
        <v>1.6273333000000001</v>
      </c>
      <c r="E95" s="1292">
        <v>1.0120100999999999</v>
      </c>
      <c r="F95" s="1293">
        <v>0.61714999999999998</v>
      </c>
      <c r="G95" s="1294">
        <v>9.5730599999999999E-2</v>
      </c>
      <c r="H95" s="1295">
        <v>3.7079800000000003E-2</v>
      </c>
      <c r="I95" s="1283">
        <v>1.32611E-2</v>
      </c>
      <c r="J95" s="1296">
        <v>6.3138999999999999E-3</v>
      </c>
      <c r="K95" s="1297">
        <v>6.7472000000000001E-3</v>
      </c>
      <c r="L95" s="1298">
        <v>10.4629593</v>
      </c>
      <c r="M95" s="1299">
        <v>9.1</v>
      </c>
    </row>
    <row r="96" spans="1:13" ht="14" customHeight="1" x14ac:dyDescent="0.15">
      <c r="A96" s="1288">
        <v>9.1999999999999993</v>
      </c>
      <c r="B96" s="1289">
        <v>1.0393333</v>
      </c>
      <c r="C96" s="1300">
        <v>6.0453333000000002</v>
      </c>
      <c r="D96" s="1301">
        <v>1.6279999999999999</v>
      </c>
      <c r="E96" s="1292">
        <v>1.0130212000000001</v>
      </c>
      <c r="F96" s="1302">
        <v>0.6191333</v>
      </c>
      <c r="G96" s="1294">
        <v>9.5988900000000002E-2</v>
      </c>
      <c r="H96" s="1295">
        <v>3.7157599999999999E-2</v>
      </c>
      <c r="I96" s="1283">
        <v>1.3299999999999999E-2</v>
      </c>
      <c r="J96" s="1296">
        <v>6.3222E-3</v>
      </c>
      <c r="K96" s="1297">
        <v>6.7999999999999996E-3</v>
      </c>
      <c r="L96" s="1298">
        <v>10.5043899</v>
      </c>
      <c r="M96" s="1299">
        <v>9.1999999999999993</v>
      </c>
    </row>
    <row r="97" spans="1:13" ht="14" customHeight="1" x14ac:dyDescent="0.15">
      <c r="A97" s="1288">
        <v>9.3000000000000007</v>
      </c>
      <c r="B97" s="1289">
        <v>1.0406667000000001</v>
      </c>
      <c r="C97" s="1290">
        <v>6.0813332999999998</v>
      </c>
      <c r="D97" s="1291">
        <v>1.6286666999999999</v>
      </c>
      <c r="E97" s="1292">
        <v>1.0140323</v>
      </c>
      <c r="F97" s="1293">
        <v>0.62111669999999997</v>
      </c>
      <c r="G97" s="1294">
        <v>9.6247200000000005E-2</v>
      </c>
      <c r="H97" s="1295">
        <v>3.7235400000000002E-2</v>
      </c>
      <c r="I97" s="1283">
        <v>1.3338900000000001E-2</v>
      </c>
      <c r="J97" s="1296">
        <v>6.3305999999999996E-3</v>
      </c>
      <c r="K97" s="1297">
        <v>6.8528E-3</v>
      </c>
      <c r="L97" s="1298">
        <v>10.5458204</v>
      </c>
      <c r="M97" s="1299">
        <v>9.3000000000000007</v>
      </c>
    </row>
    <row r="98" spans="1:13" ht="14" customHeight="1" x14ac:dyDescent="0.15">
      <c r="A98" s="1288">
        <v>9.4</v>
      </c>
      <c r="B98" s="1289">
        <v>1.042</v>
      </c>
      <c r="C98" s="1300">
        <v>6.1173333000000003</v>
      </c>
      <c r="D98" s="1301">
        <v>1.6293333000000001</v>
      </c>
      <c r="E98" s="1292">
        <v>1.0150433999999999</v>
      </c>
      <c r="F98" s="1302">
        <v>0.62309999999999999</v>
      </c>
      <c r="G98" s="1294">
        <v>9.6505599999999997E-2</v>
      </c>
      <c r="H98" s="1295">
        <v>3.7313199999999998E-2</v>
      </c>
      <c r="I98" s="1283">
        <v>1.33778E-2</v>
      </c>
      <c r="J98" s="1296">
        <v>6.3388999999999997E-3</v>
      </c>
      <c r="K98" s="1297">
        <v>6.9055999999999996E-3</v>
      </c>
      <c r="L98" s="1298">
        <v>10.587251</v>
      </c>
      <c r="M98" s="1299">
        <v>9.4</v>
      </c>
    </row>
    <row r="99" spans="1:13" ht="14" customHeight="1" x14ac:dyDescent="0.15">
      <c r="A99" s="1288">
        <v>9.5</v>
      </c>
      <c r="B99" s="1289">
        <v>1.0433333</v>
      </c>
      <c r="C99" s="1290">
        <v>6.1533332999999999</v>
      </c>
      <c r="D99" s="1291">
        <v>1.63</v>
      </c>
      <c r="E99" s="1292">
        <v>1.0160545000000001</v>
      </c>
      <c r="F99" s="1293">
        <v>0.62508330000000001</v>
      </c>
      <c r="G99" s="1294">
        <v>9.67639E-2</v>
      </c>
      <c r="H99" s="1295">
        <v>3.7391000000000001E-2</v>
      </c>
      <c r="I99" s="1283">
        <v>1.34167E-2</v>
      </c>
      <c r="J99" s="1296">
        <v>6.3471999999999999E-3</v>
      </c>
      <c r="K99" s="1297">
        <v>6.9582999999999997E-3</v>
      </c>
      <c r="L99" s="1298">
        <v>10.6286816</v>
      </c>
      <c r="M99" s="1299">
        <v>9.5</v>
      </c>
    </row>
    <row r="100" spans="1:13" ht="14" customHeight="1" x14ac:dyDescent="0.15">
      <c r="A100" s="1288">
        <v>9.6</v>
      </c>
      <c r="B100" s="1289">
        <v>1.0446667000000001</v>
      </c>
      <c r="C100" s="1300">
        <v>6.1893333000000004</v>
      </c>
      <c r="D100" s="1301">
        <v>1.6306666999999999</v>
      </c>
      <c r="E100" s="1292">
        <v>1.0170656</v>
      </c>
      <c r="F100" s="1302">
        <v>0.62706669999999998</v>
      </c>
      <c r="G100" s="1294">
        <v>9.7022200000000003E-2</v>
      </c>
      <c r="H100" s="1295">
        <v>3.7468799999999997E-2</v>
      </c>
      <c r="I100" s="1283">
        <v>1.34556E-2</v>
      </c>
      <c r="J100" s="1296">
        <v>6.3556000000000003E-3</v>
      </c>
      <c r="K100" s="1297">
        <v>7.0111000000000001E-3</v>
      </c>
      <c r="L100" s="1298">
        <v>10.670112100000001</v>
      </c>
      <c r="M100" s="1299">
        <v>9.6</v>
      </c>
    </row>
    <row r="101" spans="1:13" ht="14" customHeight="1" x14ac:dyDescent="0.15">
      <c r="A101" s="1288">
        <v>9.6999999999999993</v>
      </c>
      <c r="B101" s="1289">
        <v>1.046</v>
      </c>
      <c r="C101" s="1290">
        <v>6.2253333</v>
      </c>
      <c r="D101" s="1291">
        <v>1.6313333000000001</v>
      </c>
      <c r="E101" s="1292">
        <v>1.0180766999999999</v>
      </c>
      <c r="F101" s="1293">
        <v>0.62905</v>
      </c>
      <c r="G101" s="1294">
        <v>9.7280599999999995E-2</v>
      </c>
      <c r="H101" s="1295">
        <v>3.7546599999999999E-2</v>
      </c>
      <c r="I101" s="1283">
        <v>1.34944E-2</v>
      </c>
      <c r="J101" s="1296">
        <v>6.3638999999999996E-3</v>
      </c>
      <c r="K101" s="1297">
        <v>7.0638999999999997E-3</v>
      </c>
      <c r="L101" s="1298">
        <v>10.711542700000001</v>
      </c>
      <c r="M101" s="1299">
        <v>9.6999999999999993</v>
      </c>
    </row>
    <row r="102" spans="1:13" ht="14" customHeight="1" x14ac:dyDescent="0.15">
      <c r="A102" s="1288">
        <v>9.8000000000000007</v>
      </c>
      <c r="B102" s="1289">
        <v>1.0473333</v>
      </c>
      <c r="C102" s="1300">
        <v>6.2613333000000004</v>
      </c>
      <c r="D102" s="1301">
        <v>1.6319999999999999</v>
      </c>
      <c r="E102" s="1292">
        <v>1.0190878000000001</v>
      </c>
      <c r="F102" s="1302">
        <v>0.63103330000000002</v>
      </c>
      <c r="G102" s="1294">
        <v>9.7538899999999998E-2</v>
      </c>
      <c r="H102" s="1295">
        <v>3.7624400000000002E-2</v>
      </c>
      <c r="I102" s="1283">
        <v>1.35333E-2</v>
      </c>
      <c r="J102" s="1296">
        <v>6.3721999999999997E-3</v>
      </c>
      <c r="K102" s="1297">
        <v>7.1167000000000001E-3</v>
      </c>
      <c r="L102" s="1298">
        <v>10.752973300000001</v>
      </c>
      <c r="M102" s="1299">
        <v>9.8000000000000007</v>
      </c>
    </row>
    <row r="103" spans="1:13" ht="14" customHeight="1" x14ac:dyDescent="0.15">
      <c r="A103" s="1288">
        <v>9.9</v>
      </c>
      <c r="B103" s="1289">
        <v>1.0486667000000001</v>
      </c>
      <c r="C103" s="1290">
        <v>6.2973333</v>
      </c>
      <c r="D103" s="1291">
        <v>1.6326666999999999</v>
      </c>
      <c r="E103" s="1292">
        <v>1.0200989</v>
      </c>
      <c r="F103" s="1293">
        <v>0.63301669999999999</v>
      </c>
      <c r="G103" s="1294">
        <v>9.7797200000000001E-2</v>
      </c>
      <c r="H103" s="1295">
        <v>3.7702199999999998E-2</v>
      </c>
      <c r="I103" s="1283">
        <v>1.35722E-2</v>
      </c>
      <c r="J103" s="1296">
        <v>6.3806000000000002E-3</v>
      </c>
      <c r="K103" s="1297">
        <v>7.1694000000000003E-3</v>
      </c>
      <c r="L103" s="1298">
        <v>10.7944038</v>
      </c>
      <c r="M103" s="1299">
        <v>9.9</v>
      </c>
    </row>
    <row r="104" spans="1:13" ht="14" customHeight="1" x14ac:dyDescent="0.15">
      <c r="A104" s="1275">
        <v>10</v>
      </c>
      <c r="B104" s="1306">
        <v>1.05</v>
      </c>
      <c r="C104" s="1277">
        <v>6.3333332999999996</v>
      </c>
      <c r="D104" s="1278">
        <v>1.6333333000000001</v>
      </c>
      <c r="E104" s="1279">
        <v>1.02111</v>
      </c>
      <c r="F104" s="1280">
        <v>0.63500000000000001</v>
      </c>
      <c r="G104" s="1281">
        <v>9.8055600000000007E-2</v>
      </c>
      <c r="H104" s="1307">
        <v>3.7780000000000001E-2</v>
      </c>
      <c r="I104" s="1305">
        <v>1.3611099999999999E-2</v>
      </c>
      <c r="J104" s="1284">
        <v>6.3889000000000003E-3</v>
      </c>
      <c r="K104" s="1285">
        <v>7.2221999999999998E-3</v>
      </c>
      <c r="L104" s="1286">
        <v>10.8358344</v>
      </c>
      <c r="M104" s="1287">
        <v>10</v>
      </c>
    </row>
    <row r="105" spans="1:13" ht="13.75" customHeight="1" x14ac:dyDescent="0.15">
      <c r="A105" s="278"/>
      <c r="B105" s="40"/>
      <c r="C105" s="40"/>
      <c r="D105" s="40"/>
      <c r="E105" s="40"/>
      <c r="F105" s="1270"/>
      <c r="G105" s="1271"/>
      <c r="H105" s="1272"/>
      <c r="I105" s="40"/>
      <c r="J105" s="1273"/>
      <c r="K105" s="40"/>
      <c r="L105" s="40"/>
      <c r="M105" s="41"/>
    </row>
    <row r="106" spans="1:13" ht="33" customHeight="1" x14ac:dyDescent="0.15">
      <c r="A106" s="278"/>
      <c r="B106" s="30" t="s">
        <v>9</v>
      </c>
      <c r="C106" s="31" t="s">
        <v>10</v>
      </c>
      <c r="D106" s="32" t="s">
        <v>11</v>
      </c>
      <c r="E106" s="814" t="s">
        <v>12</v>
      </c>
      <c r="F106" s="34" t="s">
        <v>13</v>
      </c>
      <c r="G106" s="909" t="s">
        <v>14</v>
      </c>
      <c r="H106" s="815" t="s">
        <v>15</v>
      </c>
      <c r="I106" s="37" t="s">
        <v>16</v>
      </c>
      <c r="J106" s="38" t="s">
        <v>17</v>
      </c>
      <c r="K106" s="39" t="s">
        <v>18</v>
      </c>
      <c r="L106" s="1267" t="s">
        <v>350</v>
      </c>
      <c r="M106" s="41"/>
    </row>
    <row r="107" spans="1:13" ht="14" customHeight="1" x14ac:dyDescent="0.15">
      <c r="A107" s="1308"/>
      <c r="B107" s="109"/>
      <c r="C107" s="109"/>
      <c r="D107" s="109"/>
      <c r="E107" s="109"/>
      <c r="F107" s="109"/>
      <c r="G107" s="1309"/>
      <c r="H107" s="109"/>
      <c r="I107" s="109"/>
      <c r="J107" s="109"/>
      <c r="K107" s="1310" t="s">
        <v>351</v>
      </c>
      <c r="L107" s="109"/>
      <c r="M107" s="111"/>
    </row>
  </sheetData>
  <pageMargins left="0.74791700000000005" right="0.74791700000000005" top="0.98402800000000001" bottom="0.98402800000000001" header="0.49236099999999999" footer="0.49236099999999999"/>
  <pageSetup orientation="portrait"/>
  <headerFooter>
    <oddHeader>&amp;C&amp;"Arial,Regular"&amp;10&amp;K000000PQH</oddHeader>
    <oddFooter>&amp;C&amp;"Arial,Regular"&amp;10&amp;K000000Page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showGridLines="0" workbookViewId="0"/>
  </sheetViews>
  <sheetFormatPr baseColWidth="10" defaultColWidth="8.83203125" defaultRowHeight="13" customHeight="1" x14ac:dyDescent="0.15"/>
  <cols>
    <col min="1" max="1" width="8.83203125" style="1311" customWidth="1"/>
    <col min="2" max="2" width="9.6640625" style="1311" customWidth="1"/>
    <col min="3" max="12" width="11.1640625" style="1311" customWidth="1"/>
    <col min="13" max="13" width="9.6640625" style="1311" customWidth="1"/>
    <col min="14" max="14" width="11.1640625" style="1311" customWidth="1"/>
    <col min="15" max="256" width="8.83203125" customWidth="1"/>
  </cols>
  <sheetData>
    <row r="1" spans="1:14" ht="13.75" customHeight="1" x14ac:dyDescent="0.15">
      <c r="A1" s="2"/>
      <c r="B1" s="27"/>
      <c r="C1" s="4"/>
      <c r="D1" s="4"/>
      <c r="E1" s="4"/>
      <c r="F1" s="4"/>
      <c r="G1" s="4"/>
      <c r="H1" s="4"/>
      <c r="I1" s="4"/>
      <c r="J1" s="4"/>
      <c r="K1" s="4"/>
      <c r="L1" s="4"/>
      <c r="M1" s="27"/>
      <c r="N1" s="5"/>
    </row>
    <row r="2" spans="1:14" ht="13.75" customHeight="1" x14ac:dyDescent="0.15">
      <c r="A2" s="13"/>
      <c r="B2" s="40"/>
      <c r="C2" s="14"/>
      <c r="D2" s="14"/>
      <c r="E2" s="14"/>
      <c r="F2" s="14"/>
      <c r="G2" s="14"/>
      <c r="H2" s="14"/>
      <c r="I2" s="14"/>
      <c r="J2" s="14"/>
      <c r="K2" s="14"/>
      <c r="L2" s="14"/>
      <c r="M2" s="40"/>
      <c r="N2" s="8"/>
    </row>
    <row r="3" spans="1:14" ht="33" customHeight="1" x14ac:dyDescent="0.2">
      <c r="A3" s="13"/>
      <c r="B3" s="1312" t="s">
        <v>331</v>
      </c>
      <c r="C3" s="1313" t="s">
        <v>9</v>
      </c>
      <c r="D3" s="31" t="s">
        <v>10</v>
      </c>
      <c r="E3" s="32" t="s">
        <v>11</v>
      </c>
      <c r="F3" s="908" t="s">
        <v>23</v>
      </c>
      <c r="G3" s="34" t="s">
        <v>13</v>
      </c>
      <c r="H3" s="909" t="s">
        <v>14</v>
      </c>
      <c r="I3" s="815" t="s">
        <v>15</v>
      </c>
      <c r="J3" s="37" t="s">
        <v>16</v>
      </c>
      <c r="K3" s="38" t="s">
        <v>17</v>
      </c>
      <c r="L3" s="1314" t="s">
        <v>18</v>
      </c>
      <c r="M3" s="1312" t="s">
        <v>331</v>
      </c>
      <c r="N3" s="1315" t="s">
        <v>352</v>
      </c>
    </row>
    <row r="4" spans="1:14" ht="13.75" customHeight="1" x14ac:dyDescent="0.15">
      <c r="A4" s="13"/>
      <c r="B4" s="40"/>
      <c r="C4" s="1316"/>
      <c r="D4" s="1317"/>
      <c r="E4" s="1318"/>
      <c r="F4" s="14"/>
      <c r="G4" s="1319"/>
      <c r="H4" s="1320"/>
      <c r="I4" s="1321"/>
      <c r="J4" s="14"/>
      <c r="K4" s="1322"/>
      <c r="L4" s="1323"/>
      <c r="M4" s="40"/>
      <c r="N4" s="8"/>
    </row>
    <row r="5" spans="1:14" ht="14" customHeight="1" x14ac:dyDescent="0.15">
      <c r="A5" s="13"/>
      <c r="B5" s="1305">
        <v>0</v>
      </c>
      <c r="C5" s="1324">
        <v>10</v>
      </c>
      <c r="D5" s="1201">
        <v>0</v>
      </c>
      <c r="E5" s="1259">
        <v>0</v>
      </c>
      <c r="F5" s="1202">
        <v>0.88333300000000003</v>
      </c>
      <c r="G5" s="1203">
        <v>0</v>
      </c>
      <c r="H5" s="1204">
        <v>0</v>
      </c>
      <c r="I5" s="1260">
        <v>0</v>
      </c>
      <c r="J5" s="1205">
        <v>0</v>
      </c>
      <c r="K5" s="1206">
        <v>0</v>
      </c>
      <c r="L5" s="1325">
        <v>0</v>
      </c>
      <c r="M5" s="1305">
        <v>0</v>
      </c>
      <c r="N5" s="1195">
        <v>12.750500000000001</v>
      </c>
    </row>
    <row r="6" spans="1:14" ht="14" customHeight="1" x14ac:dyDescent="0.15">
      <c r="A6" s="13"/>
      <c r="B6" s="1326">
        <v>0.1</v>
      </c>
      <c r="C6" s="1324">
        <v>10.06</v>
      </c>
      <c r="D6" s="1327">
        <v>2.1666999999999999E-2</v>
      </c>
      <c r="E6" s="1328">
        <v>1.2666999999999999E-2</v>
      </c>
      <c r="F6" s="1329">
        <v>0.88483299999999998</v>
      </c>
      <c r="G6" s="1330">
        <v>8.0000000000000002E-3</v>
      </c>
      <c r="H6" s="1331">
        <v>2.3670000000000002E-3</v>
      </c>
      <c r="I6" s="1332">
        <v>1.317E-3</v>
      </c>
      <c r="J6" s="1333">
        <v>6.3299999999999999E-4</v>
      </c>
      <c r="K6" s="1334">
        <v>3.8299999999999999E-4</v>
      </c>
      <c r="L6" s="1335">
        <v>4.0000000000000002E-4</v>
      </c>
      <c r="M6" s="1326">
        <v>0.1</v>
      </c>
      <c r="N6" s="1195">
        <v>12.833788</v>
      </c>
    </row>
    <row r="7" spans="1:14" ht="14" customHeight="1" x14ac:dyDescent="0.15">
      <c r="A7" s="13"/>
      <c r="B7" s="1326">
        <v>0.2</v>
      </c>
      <c r="C7" s="1324">
        <v>10.119999999999999</v>
      </c>
      <c r="D7" s="1327">
        <v>4.3333000000000003E-2</v>
      </c>
      <c r="E7" s="1328">
        <v>2.5333000000000001E-2</v>
      </c>
      <c r="F7" s="1329">
        <v>0.88633300000000004</v>
      </c>
      <c r="G7" s="1330">
        <v>1.6E-2</v>
      </c>
      <c r="H7" s="1331">
        <v>4.7330000000000002E-3</v>
      </c>
      <c r="I7" s="1332">
        <v>2.6329999999999999E-3</v>
      </c>
      <c r="J7" s="1333">
        <v>1.2669999999999999E-3</v>
      </c>
      <c r="K7" s="1334">
        <v>7.67E-4</v>
      </c>
      <c r="L7" s="1335">
        <v>8.0000000000000004E-4</v>
      </c>
      <c r="M7" s="1326">
        <v>0.2</v>
      </c>
      <c r="N7" s="1195">
        <v>12.917077000000001</v>
      </c>
    </row>
    <row r="8" spans="1:14" ht="14" customHeight="1" x14ac:dyDescent="0.15">
      <c r="A8" s="13"/>
      <c r="B8" s="1326">
        <v>0.3</v>
      </c>
      <c r="C8" s="1324">
        <v>10.18</v>
      </c>
      <c r="D8" s="1327">
        <v>6.5000000000000002E-2</v>
      </c>
      <c r="E8" s="1328">
        <v>3.7999999999999999E-2</v>
      </c>
      <c r="F8" s="1329">
        <v>0.88783299999999998</v>
      </c>
      <c r="G8" s="1330">
        <v>2.4E-2</v>
      </c>
      <c r="H8" s="1331">
        <v>7.1000000000000004E-3</v>
      </c>
      <c r="I8" s="1332">
        <v>3.9500000000000004E-3</v>
      </c>
      <c r="J8" s="1333">
        <v>1.9E-3</v>
      </c>
      <c r="K8" s="1334">
        <v>1.15E-3</v>
      </c>
      <c r="L8" s="1335">
        <v>1.1999999999999999E-3</v>
      </c>
      <c r="M8" s="1326">
        <v>0.3</v>
      </c>
      <c r="N8" s="1195">
        <v>13.000365</v>
      </c>
    </row>
    <row r="9" spans="1:14" ht="14" customHeight="1" x14ac:dyDescent="0.15">
      <c r="A9" s="13"/>
      <c r="B9" s="1326">
        <v>0.4</v>
      </c>
      <c r="C9" s="1324">
        <v>10.24</v>
      </c>
      <c r="D9" s="1327">
        <v>8.6666999999999994E-2</v>
      </c>
      <c r="E9" s="1328">
        <v>5.0666999999999997E-2</v>
      </c>
      <c r="F9" s="1329">
        <v>0.88933300000000004</v>
      </c>
      <c r="G9" s="1330">
        <v>3.2000000000000001E-2</v>
      </c>
      <c r="H9" s="1331">
        <v>9.4669999999999997E-3</v>
      </c>
      <c r="I9" s="1332">
        <v>5.267E-3</v>
      </c>
      <c r="J9" s="1333">
        <v>2.5330000000000001E-3</v>
      </c>
      <c r="K9" s="1334">
        <v>1.5330000000000001E-3</v>
      </c>
      <c r="L9" s="1335">
        <v>1.6000000000000001E-3</v>
      </c>
      <c r="M9" s="1326">
        <v>0.4</v>
      </c>
      <c r="N9" s="1195">
        <v>13.083653</v>
      </c>
    </row>
    <row r="10" spans="1:14" ht="14" customHeight="1" x14ac:dyDescent="0.15">
      <c r="A10" s="13"/>
      <c r="B10" s="1326">
        <v>0.5</v>
      </c>
      <c r="C10" s="1324">
        <v>10.3</v>
      </c>
      <c r="D10" s="1327">
        <v>0.108333</v>
      </c>
      <c r="E10" s="1328">
        <v>6.3333E-2</v>
      </c>
      <c r="F10" s="1329">
        <v>0.89083299999999999</v>
      </c>
      <c r="G10" s="1330">
        <v>0.04</v>
      </c>
      <c r="H10" s="1331">
        <v>1.1833E-2</v>
      </c>
      <c r="I10" s="1332">
        <v>6.5830000000000003E-3</v>
      </c>
      <c r="J10" s="1333">
        <v>3.1670000000000001E-3</v>
      </c>
      <c r="K10" s="1334">
        <v>1.9170000000000001E-3</v>
      </c>
      <c r="L10" s="1335">
        <v>2E-3</v>
      </c>
      <c r="M10" s="1326">
        <v>0.5</v>
      </c>
      <c r="N10" s="1195">
        <v>13.166942000000001</v>
      </c>
    </row>
    <row r="11" spans="1:14" ht="14" customHeight="1" x14ac:dyDescent="0.15">
      <c r="A11" s="13"/>
      <c r="B11" s="1326">
        <v>0.6</v>
      </c>
      <c r="C11" s="1324">
        <v>10.36</v>
      </c>
      <c r="D11" s="1327">
        <v>0.13</v>
      </c>
      <c r="E11" s="1328">
        <v>7.5999999999999998E-2</v>
      </c>
      <c r="F11" s="1329">
        <v>0.89233300000000004</v>
      </c>
      <c r="G11" s="1330">
        <v>4.8000000000000001E-2</v>
      </c>
      <c r="H11" s="1331">
        <v>1.4200000000000001E-2</v>
      </c>
      <c r="I11" s="1332">
        <v>7.9000000000000008E-3</v>
      </c>
      <c r="J11" s="1333">
        <v>3.8E-3</v>
      </c>
      <c r="K11" s="1334">
        <v>2.3E-3</v>
      </c>
      <c r="L11" s="1335">
        <v>2.3999999999999998E-3</v>
      </c>
      <c r="M11" s="1326">
        <v>0.6</v>
      </c>
      <c r="N11" s="1195">
        <v>13.25023</v>
      </c>
    </row>
    <row r="12" spans="1:14" ht="14" customHeight="1" x14ac:dyDescent="0.15">
      <c r="A12" s="13"/>
      <c r="B12" s="1326">
        <v>0.7</v>
      </c>
      <c r="C12" s="1324">
        <v>10.42</v>
      </c>
      <c r="D12" s="1327">
        <v>0.151667</v>
      </c>
      <c r="E12" s="1328">
        <v>8.8666999999999996E-2</v>
      </c>
      <c r="F12" s="1329">
        <v>0.89383299999999999</v>
      </c>
      <c r="G12" s="1330">
        <v>5.6000000000000001E-2</v>
      </c>
      <c r="H12" s="1331">
        <v>1.6566999999999998E-2</v>
      </c>
      <c r="I12" s="1332">
        <v>9.2169999999999995E-3</v>
      </c>
      <c r="J12" s="1333">
        <v>4.4330000000000003E-3</v>
      </c>
      <c r="K12" s="1334">
        <v>2.6830000000000001E-3</v>
      </c>
      <c r="L12" s="1335">
        <v>2.8E-3</v>
      </c>
      <c r="M12" s="1326">
        <v>0.7</v>
      </c>
      <c r="N12" s="1195">
        <v>13.333518</v>
      </c>
    </row>
    <row r="13" spans="1:14" ht="14" customHeight="1" x14ac:dyDescent="0.15">
      <c r="A13" s="13"/>
      <c r="B13" s="1326">
        <v>0.8</v>
      </c>
      <c r="C13" s="1324">
        <v>10.48</v>
      </c>
      <c r="D13" s="1327">
        <v>0.17333299999999999</v>
      </c>
      <c r="E13" s="1328">
        <v>0.10133300000000001</v>
      </c>
      <c r="F13" s="1329">
        <v>0.89533300000000005</v>
      </c>
      <c r="G13" s="1330">
        <v>6.4000000000000001E-2</v>
      </c>
      <c r="H13" s="1331">
        <v>1.8932999999999998E-2</v>
      </c>
      <c r="I13" s="1332">
        <v>1.0533000000000001E-2</v>
      </c>
      <c r="J13" s="1333">
        <v>5.0670000000000003E-3</v>
      </c>
      <c r="K13" s="1334">
        <v>3.0669999999999998E-3</v>
      </c>
      <c r="L13" s="1335">
        <v>3.2000000000000002E-3</v>
      </c>
      <c r="M13" s="1326">
        <v>0.8</v>
      </c>
      <c r="N13" s="1195">
        <v>13.416807</v>
      </c>
    </row>
    <row r="14" spans="1:14" ht="14" customHeight="1" x14ac:dyDescent="0.15">
      <c r="A14" s="13"/>
      <c r="B14" s="1336">
        <v>0.9</v>
      </c>
      <c r="C14" s="1324">
        <v>10.54</v>
      </c>
      <c r="D14" s="1337">
        <v>0.19500000000000001</v>
      </c>
      <c r="E14" s="1338">
        <v>0.114</v>
      </c>
      <c r="F14" s="1329">
        <v>0.89683299999999999</v>
      </c>
      <c r="G14" s="1339">
        <v>7.1999999999999995E-2</v>
      </c>
      <c r="H14" s="1340">
        <v>2.1299999999999999E-2</v>
      </c>
      <c r="I14" s="1341">
        <v>1.1849999999999999E-2</v>
      </c>
      <c r="J14" s="1342">
        <v>5.7000000000000002E-3</v>
      </c>
      <c r="K14" s="1343">
        <v>3.4499999999999999E-3</v>
      </c>
      <c r="L14" s="1344">
        <v>3.5999999999999999E-3</v>
      </c>
      <c r="M14" s="1336">
        <v>0.9</v>
      </c>
      <c r="N14" s="1195">
        <v>13.500095</v>
      </c>
    </row>
    <row r="15" spans="1:14" ht="14" customHeight="1" x14ac:dyDescent="0.15">
      <c r="A15" s="13"/>
      <c r="B15" s="1305">
        <v>1</v>
      </c>
      <c r="C15" s="1324">
        <v>10.6</v>
      </c>
      <c r="D15" s="1345">
        <v>0.216667</v>
      </c>
      <c r="E15" s="1346">
        <v>0.126667</v>
      </c>
      <c r="F15" s="1329">
        <v>0.89833300000000005</v>
      </c>
      <c r="G15" s="1347">
        <v>0.08</v>
      </c>
      <c r="H15" s="1348">
        <v>2.3667000000000001E-2</v>
      </c>
      <c r="I15" s="1349">
        <v>1.3167E-2</v>
      </c>
      <c r="J15" s="1350">
        <v>6.3330000000000001E-3</v>
      </c>
      <c r="K15" s="1351">
        <v>3.833E-3</v>
      </c>
      <c r="L15" s="1352">
        <v>4.0000000000000001E-3</v>
      </c>
      <c r="M15" s="1305">
        <v>1</v>
      </c>
      <c r="N15" s="1195">
        <v>13.583383</v>
      </c>
    </row>
    <row r="16" spans="1:14" ht="14" customHeight="1" x14ac:dyDescent="0.15">
      <c r="A16" s="13"/>
      <c r="B16" s="1326">
        <v>1.1000000000000001</v>
      </c>
      <c r="C16" s="1324">
        <v>10.66</v>
      </c>
      <c r="D16" s="1327">
        <v>0.23833299999999999</v>
      </c>
      <c r="E16" s="1328">
        <v>0.13933300000000001</v>
      </c>
      <c r="F16" s="1329">
        <v>0.89983299999999999</v>
      </c>
      <c r="G16" s="1330">
        <v>8.7999999999999995E-2</v>
      </c>
      <c r="H16" s="1331">
        <v>2.6033000000000001E-2</v>
      </c>
      <c r="I16" s="1332">
        <v>1.4482999999999999E-2</v>
      </c>
      <c r="J16" s="1333">
        <v>6.9670000000000001E-3</v>
      </c>
      <c r="K16" s="1334">
        <v>4.2170000000000003E-3</v>
      </c>
      <c r="L16" s="1335">
        <v>4.4000000000000003E-3</v>
      </c>
      <c r="M16" s="1326">
        <v>1.1000000000000001</v>
      </c>
      <c r="N16" s="1195">
        <v>13.666672</v>
      </c>
    </row>
    <row r="17" spans="1:14" ht="14" customHeight="1" x14ac:dyDescent="0.15">
      <c r="A17" s="13"/>
      <c r="B17" s="1326">
        <v>1.2</v>
      </c>
      <c r="C17" s="1324">
        <v>10.72</v>
      </c>
      <c r="D17" s="1327">
        <v>0.26</v>
      </c>
      <c r="E17" s="1328">
        <v>0.152</v>
      </c>
      <c r="F17" s="1329">
        <v>0.90133300000000005</v>
      </c>
      <c r="G17" s="1330">
        <v>9.6000000000000002E-2</v>
      </c>
      <c r="H17" s="1331">
        <v>2.8400000000000002E-2</v>
      </c>
      <c r="I17" s="1332">
        <v>1.5800000000000002E-2</v>
      </c>
      <c r="J17" s="1333">
        <v>7.6E-3</v>
      </c>
      <c r="K17" s="1334">
        <v>4.5999999999999999E-3</v>
      </c>
      <c r="L17" s="1335">
        <v>4.7999999999999996E-3</v>
      </c>
      <c r="M17" s="1326">
        <v>1.2</v>
      </c>
      <c r="N17" s="1195">
        <v>13.74996</v>
      </c>
    </row>
    <row r="18" spans="1:14" ht="14" customHeight="1" x14ac:dyDescent="0.15">
      <c r="A18" s="13"/>
      <c r="B18" s="1326">
        <v>1.3</v>
      </c>
      <c r="C18" s="1324">
        <v>10.78</v>
      </c>
      <c r="D18" s="1327">
        <v>0.281667</v>
      </c>
      <c r="E18" s="1328">
        <v>0.16466700000000001</v>
      </c>
      <c r="F18" s="1329">
        <v>0.902833</v>
      </c>
      <c r="G18" s="1330">
        <v>0.104</v>
      </c>
      <c r="H18" s="1331">
        <v>3.0766999999999999E-2</v>
      </c>
      <c r="I18" s="1332">
        <v>1.7117E-2</v>
      </c>
      <c r="J18" s="1333">
        <v>8.2330000000000007E-3</v>
      </c>
      <c r="K18" s="1334">
        <v>4.9829999999999996E-3</v>
      </c>
      <c r="L18" s="1335">
        <v>5.1999999999999998E-3</v>
      </c>
      <c r="M18" s="1326">
        <v>1.3</v>
      </c>
      <c r="N18" s="1195">
        <v>13.833247999999999</v>
      </c>
    </row>
    <row r="19" spans="1:14" ht="14" customHeight="1" x14ac:dyDescent="0.15">
      <c r="A19" s="13"/>
      <c r="B19" s="1326">
        <v>1.4</v>
      </c>
      <c r="C19" s="1324">
        <v>10.84</v>
      </c>
      <c r="D19" s="1327">
        <v>0.30333300000000002</v>
      </c>
      <c r="E19" s="1328">
        <v>0.17733299999999999</v>
      </c>
      <c r="F19" s="1329">
        <v>0.90433300000000005</v>
      </c>
      <c r="G19" s="1330">
        <v>0.112</v>
      </c>
      <c r="H19" s="1331">
        <v>3.3133000000000003E-2</v>
      </c>
      <c r="I19" s="1332">
        <v>1.8433000000000001E-2</v>
      </c>
      <c r="J19" s="1333">
        <v>8.8669999999999999E-3</v>
      </c>
      <c r="K19" s="1334">
        <v>5.3670000000000002E-3</v>
      </c>
      <c r="L19" s="1335">
        <v>5.5999999999999999E-3</v>
      </c>
      <c r="M19" s="1326">
        <v>1.4</v>
      </c>
      <c r="N19" s="1195">
        <v>13.916537</v>
      </c>
    </row>
    <row r="20" spans="1:14" ht="14" customHeight="1" x14ac:dyDescent="0.15">
      <c r="A20" s="13"/>
      <c r="B20" s="1326">
        <v>1.5</v>
      </c>
      <c r="C20" s="1324">
        <v>10.9</v>
      </c>
      <c r="D20" s="1327">
        <v>0.32500000000000001</v>
      </c>
      <c r="E20" s="1328">
        <v>0.19</v>
      </c>
      <c r="F20" s="1329">
        <v>0.905833</v>
      </c>
      <c r="G20" s="1330">
        <v>0.12</v>
      </c>
      <c r="H20" s="1331">
        <v>3.5499999999999997E-2</v>
      </c>
      <c r="I20" s="1332">
        <v>1.975E-2</v>
      </c>
      <c r="J20" s="1333">
        <v>9.4999999999999998E-3</v>
      </c>
      <c r="K20" s="1334">
        <v>5.7499999999999999E-3</v>
      </c>
      <c r="L20" s="1335">
        <v>6.0000000000000001E-3</v>
      </c>
      <c r="M20" s="1326">
        <v>1.5</v>
      </c>
      <c r="N20" s="1195">
        <v>13.999825</v>
      </c>
    </row>
    <row r="21" spans="1:14" ht="14" customHeight="1" x14ac:dyDescent="0.15">
      <c r="A21" s="13"/>
      <c r="B21" s="1326">
        <v>1.6</v>
      </c>
      <c r="C21" s="1324">
        <v>10.96</v>
      </c>
      <c r="D21" s="1327">
        <v>0.346667</v>
      </c>
      <c r="E21" s="1328">
        <v>0.20266700000000001</v>
      </c>
      <c r="F21" s="1329">
        <v>0.90733299999999995</v>
      </c>
      <c r="G21" s="1330">
        <v>0.128</v>
      </c>
      <c r="H21" s="1331">
        <v>3.7866999999999998E-2</v>
      </c>
      <c r="I21" s="1332">
        <v>2.1066999999999999E-2</v>
      </c>
      <c r="J21" s="1333">
        <v>1.0133E-2</v>
      </c>
      <c r="K21" s="1334">
        <v>6.1330000000000004E-3</v>
      </c>
      <c r="L21" s="1335">
        <v>6.4000000000000003E-3</v>
      </c>
      <c r="M21" s="1326">
        <v>1.6</v>
      </c>
      <c r="N21" s="1195">
        <v>14.083113000000001</v>
      </c>
    </row>
    <row r="22" spans="1:14" ht="14" customHeight="1" x14ac:dyDescent="0.15">
      <c r="A22" s="13"/>
      <c r="B22" s="1326">
        <v>1.7</v>
      </c>
      <c r="C22" s="1324">
        <v>11.02</v>
      </c>
      <c r="D22" s="1327">
        <v>0.36833300000000002</v>
      </c>
      <c r="E22" s="1328">
        <v>0.215333</v>
      </c>
      <c r="F22" s="1329">
        <v>0.908833</v>
      </c>
      <c r="G22" s="1330">
        <v>0.13600000000000001</v>
      </c>
      <c r="H22" s="1331">
        <v>4.0232999999999998E-2</v>
      </c>
      <c r="I22" s="1332">
        <v>2.2383E-2</v>
      </c>
      <c r="J22" s="1333">
        <v>1.0767000000000001E-2</v>
      </c>
      <c r="K22" s="1334">
        <v>6.5170000000000002E-3</v>
      </c>
      <c r="L22" s="1335">
        <v>6.7999999999999996E-3</v>
      </c>
      <c r="M22" s="1326">
        <v>1.7</v>
      </c>
      <c r="N22" s="1195">
        <v>14.166402</v>
      </c>
    </row>
    <row r="23" spans="1:14" ht="14" customHeight="1" x14ac:dyDescent="0.15">
      <c r="A23" s="13"/>
      <c r="B23" s="1326">
        <v>1.8</v>
      </c>
      <c r="C23" s="1324">
        <v>11.08</v>
      </c>
      <c r="D23" s="1327">
        <v>0.39</v>
      </c>
      <c r="E23" s="1328">
        <v>0.22800000000000001</v>
      </c>
      <c r="F23" s="1329">
        <v>0.91033299999999995</v>
      </c>
      <c r="G23" s="1330">
        <v>0.14399999999999999</v>
      </c>
      <c r="H23" s="1331">
        <v>4.2599999999999999E-2</v>
      </c>
      <c r="I23" s="1332">
        <v>2.3699999999999999E-2</v>
      </c>
      <c r="J23" s="1333">
        <v>1.14E-2</v>
      </c>
      <c r="K23" s="1334">
        <v>6.8999999999999999E-3</v>
      </c>
      <c r="L23" s="1335">
        <v>7.1999999999999998E-3</v>
      </c>
      <c r="M23" s="1326">
        <v>1.8</v>
      </c>
      <c r="N23" s="1195">
        <v>14.249689999999999</v>
      </c>
    </row>
    <row r="24" spans="1:14" ht="14" customHeight="1" x14ac:dyDescent="0.15">
      <c r="A24" s="13"/>
      <c r="B24" s="1326">
        <v>1.9</v>
      </c>
      <c r="C24" s="1324">
        <v>11.14</v>
      </c>
      <c r="D24" s="1327">
        <v>0.41166700000000001</v>
      </c>
      <c r="E24" s="1328">
        <v>0.24066699999999999</v>
      </c>
      <c r="F24" s="1329">
        <v>0.911833</v>
      </c>
      <c r="G24" s="1330">
        <v>0.152</v>
      </c>
      <c r="H24" s="1331">
        <v>4.4967E-2</v>
      </c>
      <c r="I24" s="1332">
        <v>2.5017000000000001E-2</v>
      </c>
      <c r="J24" s="1333">
        <v>1.2033E-2</v>
      </c>
      <c r="K24" s="1334">
        <v>7.2830000000000004E-3</v>
      </c>
      <c r="L24" s="1335">
        <v>7.6E-3</v>
      </c>
      <c r="M24" s="1326">
        <v>1.9</v>
      </c>
      <c r="N24" s="1195">
        <v>14.332978000000001</v>
      </c>
    </row>
    <row r="25" spans="1:14" ht="14" customHeight="1" x14ac:dyDescent="0.15">
      <c r="A25" s="13"/>
      <c r="B25" s="1305">
        <v>2</v>
      </c>
      <c r="C25" s="1324">
        <v>11.2</v>
      </c>
      <c r="D25" s="1345">
        <v>0.43333300000000002</v>
      </c>
      <c r="E25" s="1346">
        <v>0.25333299999999997</v>
      </c>
      <c r="F25" s="1329">
        <v>0.91333299999999995</v>
      </c>
      <c r="G25" s="1347">
        <v>0.16</v>
      </c>
      <c r="H25" s="1348">
        <v>4.7333E-2</v>
      </c>
      <c r="I25" s="1349">
        <v>2.6332999999999999E-2</v>
      </c>
      <c r="J25" s="1350">
        <v>1.2666999999999999E-2</v>
      </c>
      <c r="K25" s="1351">
        <v>7.6670000000000002E-3</v>
      </c>
      <c r="L25" s="1352">
        <v>8.0000000000000002E-3</v>
      </c>
      <c r="M25" s="1305">
        <v>2</v>
      </c>
      <c r="N25" s="1195">
        <v>14.416266999999999</v>
      </c>
    </row>
    <row r="26" spans="1:14" ht="14" customHeight="1" x14ac:dyDescent="0.15">
      <c r="A26" s="13"/>
      <c r="B26" s="1326">
        <v>2.1</v>
      </c>
      <c r="C26" s="1324">
        <v>11.26</v>
      </c>
      <c r="D26" s="1327">
        <v>0.45500000000000002</v>
      </c>
      <c r="E26" s="1328">
        <v>0.26600000000000001</v>
      </c>
      <c r="F26" s="1329">
        <v>0.91483300000000001</v>
      </c>
      <c r="G26" s="1330">
        <v>0.16800000000000001</v>
      </c>
      <c r="H26" s="1331">
        <v>4.9700000000000001E-2</v>
      </c>
      <c r="I26" s="1332">
        <v>2.7650000000000001E-2</v>
      </c>
      <c r="J26" s="1333">
        <v>1.3299999999999999E-2</v>
      </c>
      <c r="K26" s="1334">
        <v>8.0499999999999999E-3</v>
      </c>
      <c r="L26" s="1335">
        <v>8.3999999999999995E-3</v>
      </c>
      <c r="M26" s="1326">
        <v>2.1</v>
      </c>
      <c r="N26" s="1195">
        <v>14.499555000000001</v>
      </c>
    </row>
    <row r="27" spans="1:14" ht="14" customHeight="1" x14ac:dyDescent="0.15">
      <c r="A27" s="13"/>
      <c r="B27" s="1326">
        <v>2.2000000000000002</v>
      </c>
      <c r="C27" s="1324">
        <v>11.32</v>
      </c>
      <c r="D27" s="1327">
        <v>0.47666700000000001</v>
      </c>
      <c r="E27" s="1328">
        <v>0.278667</v>
      </c>
      <c r="F27" s="1329">
        <v>0.91633299999999995</v>
      </c>
      <c r="G27" s="1330">
        <v>0.17599999999999999</v>
      </c>
      <c r="H27" s="1331">
        <v>5.2067000000000002E-2</v>
      </c>
      <c r="I27" s="1332">
        <v>2.8967E-2</v>
      </c>
      <c r="J27" s="1333">
        <v>1.3932999999999999E-2</v>
      </c>
      <c r="K27" s="1334">
        <v>8.4329999999999995E-3</v>
      </c>
      <c r="L27" s="1335">
        <v>8.8000000000000005E-3</v>
      </c>
      <c r="M27" s="1326">
        <v>2.2000000000000002</v>
      </c>
      <c r="N27" s="1195">
        <v>14.582843</v>
      </c>
    </row>
    <row r="28" spans="1:14" ht="14" customHeight="1" x14ac:dyDescent="0.15">
      <c r="A28" s="13"/>
      <c r="B28" s="1326">
        <v>2.2999999999999998</v>
      </c>
      <c r="C28" s="1324">
        <v>11.38</v>
      </c>
      <c r="D28" s="1327">
        <v>0.49833300000000003</v>
      </c>
      <c r="E28" s="1328">
        <v>0.29133300000000001</v>
      </c>
      <c r="F28" s="1329">
        <v>0.91783300000000001</v>
      </c>
      <c r="G28" s="1330">
        <v>0.184</v>
      </c>
      <c r="H28" s="1331">
        <v>5.4433000000000002E-2</v>
      </c>
      <c r="I28" s="1332">
        <v>3.0283000000000001E-2</v>
      </c>
      <c r="J28" s="1333">
        <v>1.4567E-2</v>
      </c>
      <c r="K28" s="1334">
        <v>8.8170000000000002E-3</v>
      </c>
      <c r="L28" s="1335">
        <v>9.1999999999999998E-3</v>
      </c>
      <c r="M28" s="1326">
        <v>2.2999999999999998</v>
      </c>
      <c r="N28" s="1195">
        <v>14.666131999999999</v>
      </c>
    </row>
    <row r="29" spans="1:14" ht="14" customHeight="1" x14ac:dyDescent="0.15">
      <c r="A29" s="13"/>
      <c r="B29" s="1326">
        <v>2.4</v>
      </c>
      <c r="C29" s="1324">
        <v>11.44</v>
      </c>
      <c r="D29" s="1327">
        <v>0.52</v>
      </c>
      <c r="E29" s="1328">
        <v>0.30399999999999999</v>
      </c>
      <c r="F29" s="1329">
        <v>0.91933299999999996</v>
      </c>
      <c r="G29" s="1330">
        <v>0.192</v>
      </c>
      <c r="H29" s="1331">
        <v>5.6800000000000003E-2</v>
      </c>
      <c r="I29" s="1332">
        <v>3.1600000000000003E-2</v>
      </c>
      <c r="J29" s="1333">
        <v>1.52E-2</v>
      </c>
      <c r="K29" s="1334">
        <v>9.1999999999999998E-3</v>
      </c>
      <c r="L29" s="1335">
        <v>9.5999999999999992E-3</v>
      </c>
      <c r="M29" s="1326">
        <v>2.4</v>
      </c>
      <c r="N29" s="1195">
        <v>14.749420000000001</v>
      </c>
    </row>
    <row r="30" spans="1:14" ht="14" customHeight="1" x14ac:dyDescent="0.15">
      <c r="A30" s="13"/>
      <c r="B30" s="1326">
        <v>2.5</v>
      </c>
      <c r="C30" s="1324">
        <v>11.5</v>
      </c>
      <c r="D30" s="1327">
        <v>0.54166700000000001</v>
      </c>
      <c r="E30" s="1328">
        <v>0.31666699999999998</v>
      </c>
      <c r="F30" s="1329">
        <v>0.92083300000000001</v>
      </c>
      <c r="G30" s="1330">
        <v>0.2</v>
      </c>
      <c r="H30" s="1331">
        <v>5.9166999999999997E-2</v>
      </c>
      <c r="I30" s="1332">
        <v>3.2917000000000002E-2</v>
      </c>
      <c r="J30" s="1333">
        <v>1.5833E-2</v>
      </c>
      <c r="K30" s="1334">
        <v>9.5829999999999995E-3</v>
      </c>
      <c r="L30" s="1335">
        <v>0.01</v>
      </c>
      <c r="M30" s="1326">
        <v>2.5</v>
      </c>
      <c r="N30" s="1195">
        <v>14.832708</v>
      </c>
    </row>
    <row r="31" spans="1:14" ht="14" customHeight="1" x14ac:dyDescent="0.15">
      <c r="A31" s="13"/>
      <c r="B31" s="1326">
        <v>2.6</v>
      </c>
      <c r="C31" s="1324">
        <v>11.56</v>
      </c>
      <c r="D31" s="1327">
        <v>0.56333299999999997</v>
      </c>
      <c r="E31" s="1328">
        <v>0.32933299999999999</v>
      </c>
      <c r="F31" s="1329">
        <v>0.92233299999999996</v>
      </c>
      <c r="G31" s="1330">
        <v>0.20799999999999999</v>
      </c>
      <c r="H31" s="1331">
        <v>6.1532999999999997E-2</v>
      </c>
      <c r="I31" s="1332">
        <v>3.4233E-2</v>
      </c>
      <c r="J31" s="1333">
        <v>1.6466999999999999E-2</v>
      </c>
      <c r="K31" s="1334">
        <v>9.9670000000000002E-3</v>
      </c>
      <c r="L31" s="1335">
        <v>1.04E-2</v>
      </c>
      <c r="M31" s="1326">
        <v>2.6</v>
      </c>
      <c r="N31" s="1195">
        <v>14.915997000000001</v>
      </c>
    </row>
    <row r="32" spans="1:14" ht="14" customHeight="1" x14ac:dyDescent="0.15">
      <c r="A32" s="13"/>
      <c r="B32" s="1326">
        <v>2.7</v>
      </c>
      <c r="C32" s="1324">
        <v>11.62</v>
      </c>
      <c r="D32" s="1327">
        <v>0.58499999999999996</v>
      </c>
      <c r="E32" s="1328">
        <v>0.34200000000000003</v>
      </c>
      <c r="F32" s="1329">
        <v>0.92383300000000002</v>
      </c>
      <c r="G32" s="1330">
        <v>0.216</v>
      </c>
      <c r="H32" s="1331">
        <v>6.3899999999999998E-2</v>
      </c>
      <c r="I32" s="1332">
        <v>3.5549999999999998E-2</v>
      </c>
      <c r="J32" s="1333">
        <v>1.7100000000000001E-2</v>
      </c>
      <c r="K32" s="1334">
        <v>1.035E-2</v>
      </c>
      <c r="L32" s="1335">
        <v>1.0800000000000001E-2</v>
      </c>
      <c r="M32" s="1326">
        <v>2.7</v>
      </c>
      <c r="N32" s="1195">
        <v>14.999285</v>
      </c>
    </row>
    <row r="33" spans="1:14" ht="14" customHeight="1" x14ac:dyDescent="0.15">
      <c r="A33" s="13"/>
      <c r="B33" s="1326">
        <v>2.8</v>
      </c>
      <c r="C33" s="1324">
        <v>11.68</v>
      </c>
      <c r="D33" s="1327">
        <v>0.60666699999999996</v>
      </c>
      <c r="E33" s="1328">
        <v>0.35466700000000001</v>
      </c>
      <c r="F33" s="1329">
        <v>0.92533299999999996</v>
      </c>
      <c r="G33" s="1330">
        <v>0.224</v>
      </c>
      <c r="H33" s="1331">
        <v>6.6267000000000006E-2</v>
      </c>
      <c r="I33" s="1332">
        <v>3.6866999999999997E-2</v>
      </c>
      <c r="J33" s="1333">
        <v>1.7732999999999999E-2</v>
      </c>
      <c r="K33" s="1334">
        <v>1.0732999999999999E-2</v>
      </c>
      <c r="L33" s="1335">
        <v>1.12E-2</v>
      </c>
      <c r="M33" s="1326">
        <v>2.8</v>
      </c>
      <c r="N33" s="1195">
        <v>15.082573</v>
      </c>
    </row>
    <row r="34" spans="1:14" ht="14" customHeight="1" x14ac:dyDescent="0.15">
      <c r="A34" s="13"/>
      <c r="B34" s="1326">
        <v>2.9</v>
      </c>
      <c r="C34" s="1324">
        <v>11.74</v>
      </c>
      <c r="D34" s="1327">
        <v>0.62833300000000003</v>
      </c>
      <c r="E34" s="1328">
        <v>0.36733300000000002</v>
      </c>
      <c r="F34" s="1329">
        <v>0.92683300000000002</v>
      </c>
      <c r="G34" s="1330">
        <v>0.23200000000000001</v>
      </c>
      <c r="H34" s="1331">
        <v>6.8633E-2</v>
      </c>
      <c r="I34" s="1332">
        <v>3.8183000000000002E-2</v>
      </c>
      <c r="J34" s="1333">
        <v>1.8367000000000001E-2</v>
      </c>
      <c r="K34" s="1334">
        <v>1.1117E-2</v>
      </c>
      <c r="L34" s="1335">
        <v>1.1599999999999999E-2</v>
      </c>
      <c r="M34" s="1326">
        <v>2.9</v>
      </c>
      <c r="N34" s="1195">
        <v>15.165862000000001</v>
      </c>
    </row>
    <row r="35" spans="1:14" ht="14" customHeight="1" x14ac:dyDescent="0.15">
      <c r="A35" s="13"/>
      <c r="B35" s="1305">
        <v>3</v>
      </c>
      <c r="C35" s="1324">
        <v>11.8</v>
      </c>
      <c r="D35" s="1345">
        <v>0.65</v>
      </c>
      <c r="E35" s="1346">
        <v>0.38</v>
      </c>
      <c r="F35" s="1329">
        <v>0.92833299999999996</v>
      </c>
      <c r="G35" s="1347">
        <v>0.24</v>
      </c>
      <c r="H35" s="1348">
        <v>7.0999999999999994E-2</v>
      </c>
      <c r="I35" s="1349">
        <v>3.95E-2</v>
      </c>
      <c r="J35" s="1350">
        <v>1.9E-2</v>
      </c>
      <c r="K35" s="1351">
        <v>1.15E-2</v>
      </c>
      <c r="L35" s="1352">
        <v>1.2E-2</v>
      </c>
      <c r="M35" s="1305">
        <v>3</v>
      </c>
      <c r="N35" s="1195">
        <v>15.24915</v>
      </c>
    </row>
    <row r="36" spans="1:14" ht="14" customHeight="1" x14ac:dyDescent="0.15">
      <c r="A36" s="13"/>
      <c r="B36" s="1326">
        <v>3.1</v>
      </c>
      <c r="C36" s="1324">
        <v>11.86</v>
      </c>
      <c r="D36" s="1327">
        <v>0.67166700000000001</v>
      </c>
      <c r="E36" s="1328">
        <v>0.39266699999999999</v>
      </c>
      <c r="F36" s="1329">
        <v>0.92983300000000002</v>
      </c>
      <c r="G36" s="1330">
        <v>0.248</v>
      </c>
      <c r="H36" s="1331">
        <v>7.3367000000000002E-2</v>
      </c>
      <c r="I36" s="1332">
        <v>4.0816999999999999E-2</v>
      </c>
      <c r="J36" s="1333">
        <v>1.9633000000000001E-2</v>
      </c>
      <c r="K36" s="1334">
        <v>1.1882999999999999E-2</v>
      </c>
      <c r="L36" s="1335">
        <v>1.24E-2</v>
      </c>
      <c r="M36" s="1326">
        <v>3.1</v>
      </c>
      <c r="N36" s="1195">
        <v>15.332438</v>
      </c>
    </row>
    <row r="37" spans="1:14" ht="14" customHeight="1" x14ac:dyDescent="0.15">
      <c r="A37" s="13"/>
      <c r="B37" s="1326">
        <v>3.2</v>
      </c>
      <c r="C37" s="1324">
        <v>11.92</v>
      </c>
      <c r="D37" s="1327">
        <v>0.69333299999999998</v>
      </c>
      <c r="E37" s="1328">
        <v>0.405333</v>
      </c>
      <c r="F37" s="1329">
        <v>0.93133299999999997</v>
      </c>
      <c r="G37" s="1330">
        <v>0.25600000000000001</v>
      </c>
      <c r="H37" s="1331">
        <v>7.5732999999999995E-2</v>
      </c>
      <c r="I37" s="1332">
        <v>4.2132999999999997E-2</v>
      </c>
      <c r="J37" s="1333">
        <v>2.0267E-2</v>
      </c>
      <c r="K37" s="1334">
        <v>1.2267E-2</v>
      </c>
      <c r="L37" s="1335">
        <v>1.2800000000000001E-2</v>
      </c>
      <c r="M37" s="1326">
        <v>3.2</v>
      </c>
      <c r="N37" s="1195">
        <v>15.415727</v>
      </c>
    </row>
    <row r="38" spans="1:14" ht="14" customHeight="1" x14ac:dyDescent="0.15">
      <c r="A38" s="13"/>
      <c r="B38" s="1326">
        <v>3.3</v>
      </c>
      <c r="C38" s="1324">
        <v>11.98</v>
      </c>
      <c r="D38" s="1327">
        <v>0.71499999999999997</v>
      </c>
      <c r="E38" s="1328">
        <v>0.41799999999999998</v>
      </c>
      <c r="F38" s="1329">
        <v>0.93283300000000002</v>
      </c>
      <c r="G38" s="1330">
        <v>0.26400000000000001</v>
      </c>
      <c r="H38" s="1331">
        <v>7.8100000000000003E-2</v>
      </c>
      <c r="I38" s="1332">
        <v>4.3450000000000003E-2</v>
      </c>
      <c r="J38" s="1333">
        <v>2.0899999999999998E-2</v>
      </c>
      <c r="K38" s="1334">
        <v>1.265E-2</v>
      </c>
      <c r="L38" s="1335">
        <v>1.32E-2</v>
      </c>
      <c r="M38" s="1326">
        <v>3.3</v>
      </c>
      <c r="N38" s="1195">
        <v>15.499015</v>
      </c>
    </row>
    <row r="39" spans="1:14" ht="14" customHeight="1" x14ac:dyDescent="0.15">
      <c r="A39" s="13"/>
      <c r="B39" s="1326">
        <v>3.4</v>
      </c>
      <c r="C39" s="1324">
        <v>12.04</v>
      </c>
      <c r="D39" s="1327">
        <v>0.73666699999999996</v>
      </c>
      <c r="E39" s="1328">
        <v>0.43066700000000002</v>
      </c>
      <c r="F39" s="1329">
        <v>0.93433299999999997</v>
      </c>
      <c r="G39" s="1330">
        <v>0.27200000000000002</v>
      </c>
      <c r="H39" s="1331">
        <v>8.0466999999999997E-2</v>
      </c>
      <c r="I39" s="1332">
        <v>4.4767000000000001E-2</v>
      </c>
      <c r="J39" s="1333">
        <v>2.1533E-2</v>
      </c>
      <c r="K39" s="1334">
        <v>1.3032999999999999E-2</v>
      </c>
      <c r="L39" s="1335">
        <v>1.3599999999999999E-2</v>
      </c>
      <c r="M39" s="1326">
        <v>3.4</v>
      </c>
      <c r="N39" s="1195">
        <v>15.582303</v>
      </c>
    </row>
    <row r="40" spans="1:14" ht="14" customHeight="1" x14ac:dyDescent="0.15">
      <c r="A40" s="13"/>
      <c r="B40" s="1326">
        <v>3.5</v>
      </c>
      <c r="C40" s="1324">
        <v>12.1</v>
      </c>
      <c r="D40" s="1327">
        <v>0.75833300000000003</v>
      </c>
      <c r="E40" s="1328">
        <v>0.44333299999999998</v>
      </c>
      <c r="F40" s="1329">
        <v>0.93583300000000003</v>
      </c>
      <c r="G40" s="1330">
        <v>0.28000000000000003</v>
      </c>
      <c r="H40" s="1331">
        <v>8.2833000000000004E-2</v>
      </c>
      <c r="I40" s="1332">
        <v>4.6082999999999999E-2</v>
      </c>
      <c r="J40" s="1333">
        <v>2.2166999999999999E-2</v>
      </c>
      <c r="K40" s="1334">
        <v>1.3417E-2</v>
      </c>
      <c r="L40" s="1335">
        <v>1.4E-2</v>
      </c>
      <c r="M40" s="1326">
        <v>3.5</v>
      </c>
      <c r="N40" s="1195">
        <v>15.665592</v>
      </c>
    </row>
    <row r="41" spans="1:14" ht="14" customHeight="1" x14ac:dyDescent="0.15">
      <c r="A41" s="13"/>
      <c r="B41" s="1326">
        <v>3.6</v>
      </c>
      <c r="C41" s="1324">
        <v>12.16</v>
      </c>
      <c r="D41" s="1327">
        <v>0.78</v>
      </c>
      <c r="E41" s="1328">
        <v>0.45600000000000002</v>
      </c>
      <c r="F41" s="1329">
        <v>0.93733299999999997</v>
      </c>
      <c r="G41" s="1330">
        <v>0.28799999999999998</v>
      </c>
      <c r="H41" s="1331">
        <v>8.5199999999999998E-2</v>
      </c>
      <c r="I41" s="1332">
        <v>4.7399999999999998E-2</v>
      </c>
      <c r="J41" s="1333">
        <v>2.2800000000000001E-2</v>
      </c>
      <c r="K41" s="1334">
        <v>1.38E-2</v>
      </c>
      <c r="L41" s="1335">
        <v>1.44E-2</v>
      </c>
      <c r="M41" s="1326">
        <v>3.6</v>
      </c>
      <c r="N41" s="1195">
        <v>15.74888</v>
      </c>
    </row>
    <row r="42" spans="1:14" ht="14" customHeight="1" x14ac:dyDescent="0.15">
      <c r="A42" s="13"/>
      <c r="B42" s="1326">
        <v>3.7</v>
      </c>
      <c r="C42" s="1324">
        <v>12.22</v>
      </c>
      <c r="D42" s="1327">
        <v>0.80166700000000002</v>
      </c>
      <c r="E42" s="1328">
        <v>0.468667</v>
      </c>
      <c r="F42" s="1329">
        <v>0.93883300000000003</v>
      </c>
      <c r="G42" s="1330">
        <v>0.29599999999999999</v>
      </c>
      <c r="H42" s="1331">
        <v>8.7567000000000006E-2</v>
      </c>
      <c r="I42" s="1332">
        <v>4.8717000000000003E-2</v>
      </c>
      <c r="J42" s="1333">
        <v>2.3432999999999999E-2</v>
      </c>
      <c r="K42" s="1334">
        <v>1.4182999999999999E-2</v>
      </c>
      <c r="L42" s="1335">
        <v>1.4800000000000001E-2</v>
      </c>
      <c r="M42" s="1326">
        <v>3.7</v>
      </c>
      <c r="N42" s="1195">
        <v>15.832167999999999</v>
      </c>
    </row>
    <row r="43" spans="1:14" ht="14" customHeight="1" x14ac:dyDescent="0.15">
      <c r="A43" s="13"/>
      <c r="B43" s="1326">
        <v>3.8</v>
      </c>
      <c r="C43" s="1324">
        <v>12.28</v>
      </c>
      <c r="D43" s="1327">
        <v>0.82333299999999998</v>
      </c>
      <c r="E43" s="1328">
        <v>0.48133300000000001</v>
      </c>
      <c r="F43" s="1329">
        <v>0.94033299999999997</v>
      </c>
      <c r="G43" s="1330">
        <v>0.30399999999999999</v>
      </c>
      <c r="H43" s="1331">
        <v>8.9932999999999999E-2</v>
      </c>
      <c r="I43" s="1332">
        <v>5.0033000000000001E-2</v>
      </c>
      <c r="J43" s="1333">
        <v>2.4067000000000002E-2</v>
      </c>
      <c r="K43" s="1334">
        <v>1.4567E-2</v>
      </c>
      <c r="L43" s="1335">
        <v>1.52E-2</v>
      </c>
      <c r="M43" s="1326">
        <v>3.8</v>
      </c>
      <c r="N43" s="1195">
        <v>15.915457</v>
      </c>
    </row>
    <row r="44" spans="1:14" ht="14" customHeight="1" x14ac:dyDescent="0.15">
      <c r="A44" s="13"/>
      <c r="B44" s="1326">
        <v>3.9</v>
      </c>
      <c r="C44" s="1324">
        <v>12.34</v>
      </c>
      <c r="D44" s="1327">
        <v>0.84499999999999997</v>
      </c>
      <c r="E44" s="1328">
        <v>0.49399999999999999</v>
      </c>
      <c r="F44" s="1329">
        <v>0.94183300000000003</v>
      </c>
      <c r="G44" s="1330">
        <v>0.312</v>
      </c>
      <c r="H44" s="1331">
        <v>9.2299999999999993E-2</v>
      </c>
      <c r="I44" s="1332">
        <v>5.135E-2</v>
      </c>
      <c r="J44" s="1333">
        <v>2.47E-2</v>
      </c>
      <c r="K44" s="1334">
        <v>1.495E-2</v>
      </c>
      <c r="L44" s="1335">
        <v>1.5599999999999999E-2</v>
      </c>
      <c r="M44" s="1326">
        <v>3.9</v>
      </c>
      <c r="N44" s="1195">
        <v>15.998745</v>
      </c>
    </row>
    <row r="45" spans="1:14" ht="14" customHeight="1" x14ac:dyDescent="0.15">
      <c r="A45" s="13"/>
      <c r="B45" s="1305">
        <v>4</v>
      </c>
      <c r="C45" s="1324">
        <v>12.4</v>
      </c>
      <c r="D45" s="1345">
        <v>0.86666699999999997</v>
      </c>
      <c r="E45" s="1346">
        <v>0.50666699999999998</v>
      </c>
      <c r="F45" s="1329">
        <v>0.94333299999999998</v>
      </c>
      <c r="G45" s="1347">
        <v>0.32</v>
      </c>
      <c r="H45" s="1348">
        <v>9.4667000000000001E-2</v>
      </c>
      <c r="I45" s="1349">
        <v>5.2666999999999999E-2</v>
      </c>
      <c r="J45" s="1350">
        <v>2.5333000000000001E-2</v>
      </c>
      <c r="K45" s="1351">
        <v>1.5332999999999999E-2</v>
      </c>
      <c r="L45" s="1352">
        <v>1.6E-2</v>
      </c>
      <c r="M45" s="1305">
        <v>4</v>
      </c>
      <c r="N45" s="1195">
        <v>16.082032999999999</v>
      </c>
    </row>
    <row r="46" spans="1:14" ht="14" customHeight="1" x14ac:dyDescent="0.15">
      <c r="A46" s="13"/>
      <c r="B46" s="1326">
        <v>4.0999999999999996</v>
      </c>
      <c r="C46" s="1324">
        <v>12.46</v>
      </c>
      <c r="D46" s="1327">
        <v>0.88833300000000004</v>
      </c>
      <c r="E46" s="1328">
        <v>0.51933300000000004</v>
      </c>
      <c r="F46" s="1329">
        <v>0.94483300000000003</v>
      </c>
      <c r="G46" s="1330">
        <v>0.32800000000000001</v>
      </c>
      <c r="H46" s="1331">
        <v>9.7032999999999994E-2</v>
      </c>
      <c r="I46" s="1332">
        <v>5.3983000000000003E-2</v>
      </c>
      <c r="J46" s="1333">
        <v>2.5967E-2</v>
      </c>
      <c r="K46" s="1334">
        <v>1.5716999999999998E-2</v>
      </c>
      <c r="L46" s="1335">
        <v>1.6400000000000001E-2</v>
      </c>
      <c r="M46" s="1326">
        <v>4.0999999999999996</v>
      </c>
      <c r="N46" s="1195">
        <v>16.165322</v>
      </c>
    </row>
    <row r="47" spans="1:14" ht="14" customHeight="1" x14ac:dyDescent="0.15">
      <c r="A47" s="13"/>
      <c r="B47" s="1326">
        <v>4.2</v>
      </c>
      <c r="C47" s="1324">
        <v>12.52</v>
      </c>
      <c r="D47" s="1327">
        <v>0.91</v>
      </c>
      <c r="E47" s="1328">
        <v>0.53200000000000003</v>
      </c>
      <c r="F47" s="1329">
        <v>0.94633299999999998</v>
      </c>
      <c r="G47" s="1330">
        <v>0.33600000000000002</v>
      </c>
      <c r="H47" s="1331">
        <v>9.9400000000000002E-2</v>
      </c>
      <c r="I47" s="1332">
        <v>5.5300000000000002E-2</v>
      </c>
      <c r="J47" s="1333">
        <v>2.6599999999999999E-2</v>
      </c>
      <c r="K47" s="1334">
        <v>1.61E-2</v>
      </c>
      <c r="L47" s="1335">
        <v>1.6799999999999999E-2</v>
      </c>
      <c r="M47" s="1326">
        <v>4.2</v>
      </c>
      <c r="N47" s="1195">
        <v>16.248609999999999</v>
      </c>
    </row>
    <row r="48" spans="1:14" ht="14" customHeight="1" x14ac:dyDescent="0.15">
      <c r="A48" s="13"/>
      <c r="B48" s="1326">
        <v>4.3</v>
      </c>
      <c r="C48" s="1324">
        <v>12.58</v>
      </c>
      <c r="D48" s="1327">
        <v>0.93166700000000002</v>
      </c>
      <c r="E48" s="1328">
        <v>0.54466700000000001</v>
      </c>
      <c r="F48" s="1329">
        <v>0.94783300000000004</v>
      </c>
      <c r="G48" s="1330">
        <v>0.34399999999999997</v>
      </c>
      <c r="H48" s="1331">
        <v>0.101767</v>
      </c>
      <c r="I48" s="1332">
        <v>5.6617000000000001E-2</v>
      </c>
      <c r="J48" s="1333">
        <v>2.7233E-2</v>
      </c>
      <c r="K48" s="1334">
        <v>1.6483000000000001E-2</v>
      </c>
      <c r="L48" s="1335">
        <v>1.72E-2</v>
      </c>
      <c r="M48" s="1326">
        <v>4.3</v>
      </c>
      <c r="N48" s="1195">
        <v>16.331897999999999</v>
      </c>
    </row>
    <row r="49" spans="1:14" ht="14" customHeight="1" x14ac:dyDescent="0.15">
      <c r="A49" s="13"/>
      <c r="B49" s="1326">
        <v>4.4000000000000004</v>
      </c>
      <c r="C49" s="1324">
        <v>12.64</v>
      </c>
      <c r="D49" s="1327">
        <v>0.95333299999999999</v>
      </c>
      <c r="E49" s="1328">
        <v>0.55733299999999997</v>
      </c>
      <c r="F49" s="1329">
        <v>0.94933299999999998</v>
      </c>
      <c r="G49" s="1330">
        <v>0.35199999999999998</v>
      </c>
      <c r="H49" s="1331">
        <v>0.104133</v>
      </c>
      <c r="I49" s="1332">
        <v>5.7932999999999998E-2</v>
      </c>
      <c r="J49" s="1333">
        <v>2.7866999999999999E-2</v>
      </c>
      <c r="K49" s="1334">
        <v>1.6867E-2</v>
      </c>
      <c r="L49" s="1335">
        <v>1.7600000000000001E-2</v>
      </c>
      <c r="M49" s="1326">
        <v>4.4000000000000004</v>
      </c>
      <c r="N49" s="1195">
        <v>16.415187</v>
      </c>
    </row>
    <row r="50" spans="1:14" ht="14" customHeight="1" x14ac:dyDescent="0.15">
      <c r="A50" s="13"/>
      <c r="B50" s="1326">
        <v>4.5</v>
      </c>
      <c r="C50" s="1324">
        <v>12.7</v>
      </c>
      <c r="D50" s="1327">
        <v>0.97499999999999998</v>
      </c>
      <c r="E50" s="1328">
        <v>0.56999999999999995</v>
      </c>
      <c r="F50" s="1329">
        <v>0.95083300000000004</v>
      </c>
      <c r="G50" s="1330">
        <v>0.36</v>
      </c>
      <c r="H50" s="1331">
        <v>0.1065</v>
      </c>
      <c r="I50" s="1332">
        <v>5.9249999999999997E-2</v>
      </c>
      <c r="J50" s="1333">
        <v>2.8500000000000001E-2</v>
      </c>
      <c r="K50" s="1334">
        <v>1.7250000000000001E-2</v>
      </c>
      <c r="L50" s="1335">
        <v>1.7999999999999999E-2</v>
      </c>
      <c r="M50" s="1326">
        <v>4.5</v>
      </c>
      <c r="N50" s="1195">
        <v>16.498474999999999</v>
      </c>
    </row>
    <row r="51" spans="1:14" ht="14" customHeight="1" x14ac:dyDescent="0.15">
      <c r="A51" s="13"/>
      <c r="B51" s="1326">
        <v>4.5999999999999996</v>
      </c>
      <c r="C51" s="1324">
        <v>12.76</v>
      </c>
      <c r="D51" s="1327">
        <v>0.99666699999999997</v>
      </c>
      <c r="E51" s="1328">
        <v>0.58266700000000005</v>
      </c>
      <c r="F51" s="1329">
        <v>0.95233299999999999</v>
      </c>
      <c r="G51" s="1330">
        <v>0.36799999999999999</v>
      </c>
      <c r="H51" s="1331">
        <v>0.10886700000000001</v>
      </c>
      <c r="I51" s="1332">
        <v>6.0567000000000003E-2</v>
      </c>
      <c r="J51" s="1333">
        <v>2.9132999999999999E-2</v>
      </c>
      <c r="K51" s="1334">
        <v>1.7632999999999999E-2</v>
      </c>
      <c r="L51" s="1335">
        <v>1.84E-2</v>
      </c>
      <c r="M51" s="1326">
        <v>4.5999999999999996</v>
      </c>
      <c r="N51" s="1195">
        <v>16.581762999999999</v>
      </c>
    </row>
    <row r="52" spans="1:14" ht="14" customHeight="1" x14ac:dyDescent="0.15">
      <c r="A52" s="13"/>
      <c r="B52" s="1326">
        <v>4.7</v>
      </c>
      <c r="C52" s="1324">
        <v>12.82</v>
      </c>
      <c r="D52" s="1327">
        <v>1.0183329999999999</v>
      </c>
      <c r="E52" s="1328">
        <v>0.595333</v>
      </c>
      <c r="F52" s="1329">
        <v>0.95383300000000004</v>
      </c>
      <c r="G52" s="1330">
        <v>0.376</v>
      </c>
      <c r="H52" s="1331">
        <v>0.111233</v>
      </c>
      <c r="I52" s="1332">
        <v>6.1883000000000001E-2</v>
      </c>
      <c r="J52" s="1333">
        <v>2.9766999999999998E-2</v>
      </c>
      <c r="K52" s="1334">
        <v>1.8016999999999998E-2</v>
      </c>
      <c r="L52" s="1335">
        <v>1.8800000000000001E-2</v>
      </c>
      <c r="M52" s="1326">
        <v>4.7</v>
      </c>
      <c r="N52" s="1195">
        <v>16.665051999999999</v>
      </c>
    </row>
    <row r="53" spans="1:14" ht="14" customHeight="1" x14ac:dyDescent="0.15">
      <c r="A53" s="13"/>
      <c r="B53" s="1326">
        <v>4.8</v>
      </c>
      <c r="C53" s="1324">
        <v>12.88</v>
      </c>
      <c r="D53" s="1327">
        <v>1.04</v>
      </c>
      <c r="E53" s="1328">
        <v>0.60799999999999998</v>
      </c>
      <c r="F53" s="1329">
        <v>0.95533299999999999</v>
      </c>
      <c r="G53" s="1330">
        <v>0.38400000000000001</v>
      </c>
      <c r="H53" s="1331">
        <v>0.11360000000000001</v>
      </c>
      <c r="I53" s="1332">
        <v>6.3200000000000006E-2</v>
      </c>
      <c r="J53" s="1333">
        <v>3.04E-2</v>
      </c>
      <c r="K53" s="1334">
        <v>1.84E-2</v>
      </c>
      <c r="L53" s="1335">
        <v>1.9199999999999998E-2</v>
      </c>
      <c r="M53" s="1326">
        <v>4.8</v>
      </c>
      <c r="N53" s="1195">
        <v>16.748339999999999</v>
      </c>
    </row>
    <row r="54" spans="1:14" ht="14" customHeight="1" x14ac:dyDescent="0.15">
      <c r="A54" s="13"/>
      <c r="B54" s="1326">
        <v>4.9000000000000004</v>
      </c>
      <c r="C54" s="1324">
        <v>12.94</v>
      </c>
      <c r="D54" s="1327">
        <v>1.0616669999999999</v>
      </c>
      <c r="E54" s="1328">
        <v>0.62066699999999997</v>
      </c>
      <c r="F54" s="1329">
        <v>0.95683300000000004</v>
      </c>
      <c r="G54" s="1330">
        <v>0.39200000000000002</v>
      </c>
      <c r="H54" s="1331">
        <v>0.115967</v>
      </c>
      <c r="I54" s="1332">
        <v>6.4517000000000005E-2</v>
      </c>
      <c r="J54" s="1333">
        <v>3.1033000000000002E-2</v>
      </c>
      <c r="K54" s="1334">
        <v>1.8783000000000001E-2</v>
      </c>
      <c r="L54" s="1335">
        <v>1.9599999999999999E-2</v>
      </c>
      <c r="M54" s="1326">
        <v>4.9000000000000004</v>
      </c>
      <c r="N54" s="1195">
        <v>16.831627999999998</v>
      </c>
    </row>
    <row r="55" spans="1:14" ht="14" customHeight="1" x14ac:dyDescent="0.15">
      <c r="A55" s="13"/>
      <c r="B55" s="1305">
        <v>5</v>
      </c>
      <c r="C55" s="1324">
        <v>13</v>
      </c>
      <c r="D55" s="1345">
        <v>1.0833330000000001</v>
      </c>
      <c r="E55" s="1346">
        <v>0.63333300000000003</v>
      </c>
      <c r="F55" s="1329">
        <v>0.95833299999999999</v>
      </c>
      <c r="G55" s="1347">
        <v>0.4</v>
      </c>
      <c r="H55" s="1348">
        <v>0.11833299999999999</v>
      </c>
      <c r="I55" s="1349">
        <v>6.5833000000000003E-2</v>
      </c>
      <c r="J55" s="1350">
        <v>3.1667000000000001E-2</v>
      </c>
      <c r="K55" s="1351">
        <v>1.9167E-2</v>
      </c>
      <c r="L55" s="1352">
        <v>0.02</v>
      </c>
      <c r="M55" s="1305">
        <v>5</v>
      </c>
      <c r="N55" s="1195">
        <v>16.914916999999999</v>
      </c>
    </row>
    <row r="56" spans="1:14" ht="14" customHeight="1" x14ac:dyDescent="0.15">
      <c r="A56" s="13"/>
      <c r="B56" s="1326">
        <v>5.0999999999999996</v>
      </c>
      <c r="C56" s="1324">
        <v>13.06</v>
      </c>
      <c r="D56" s="1327">
        <v>1.105</v>
      </c>
      <c r="E56" s="1328">
        <v>0.64600000000000002</v>
      </c>
      <c r="F56" s="1329">
        <v>0.95983300000000005</v>
      </c>
      <c r="G56" s="1330">
        <v>0.40799999999999997</v>
      </c>
      <c r="H56" s="1331">
        <v>0.1207</v>
      </c>
      <c r="I56" s="1332">
        <v>6.7150000000000001E-2</v>
      </c>
      <c r="J56" s="1333">
        <v>3.2300000000000002E-2</v>
      </c>
      <c r="K56" s="1334">
        <v>1.9550000000000001E-2</v>
      </c>
      <c r="L56" s="1335">
        <v>2.0400000000000001E-2</v>
      </c>
      <c r="M56" s="1326">
        <v>5.0999999999999996</v>
      </c>
      <c r="N56" s="1195">
        <v>16.998204999999999</v>
      </c>
    </row>
    <row r="57" spans="1:14" ht="14" customHeight="1" x14ac:dyDescent="0.15">
      <c r="A57" s="13"/>
      <c r="B57" s="1326">
        <v>5.2</v>
      </c>
      <c r="C57" s="1324">
        <v>13.12</v>
      </c>
      <c r="D57" s="1327">
        <v>1.1266670000000001</v>
      </c>
      <c r="E57" s="1328">
        <v>0.658667</v>
      </c>
      <c r="F57" s="1329">
        <v>0.96133299999999999</v>
      </c>
      <c r="G57" s="1330">
        <v>0.41599999999999998</v>
      </c>
      <c r="H57" s="1331">
        <v>0.123067</v>
      </c>
      <c r="I57" s="1332">
        <v>6.8467E-2</v>
      </c>
      <c r="J57" s="1333">
        <v>3.2932999999999997E-2</v>
      </c>
      <c r="K57" s="1334">
        <v>1.9932999999999999E-2</v>
      </c>
      <c r="L57" s="1335">
        <v>2.0799999999999999E-2</v>
      </c>
      <c r="M57" s="1326">
        <v>5.2</v>
      </c>
      <c r="N57" s="1195">
        <v>17.081492999999998</v>
      </c>
    </row>
    <row r="58" spans="1:14" ht="14" customHeight="1" x14ac:dyDescent="0.15">
      <c r="A58" s="13"/>
      <c r="B58" s="1326">
        <v>5.3</v>
      </c>
      <c r="C58" s="1324">
        <v>13.18</v>
      </c>
      <c r="D58" s="1327">
        <v>1.148333</v>
      </c>
      <c r="E58" s="1328">
        <v>0.67133299999999996</v>
      </c>
      <c r="F58" s="1329">
        <v>0.96283300000000005</v>
      </c>
      <c r="G58" s="1330">
        <v>0.42399999999999999</v>
      </c>
      <c r="H58" s="1331">
        <v>0.12543299999999999</v>
      </c>
      <c r="I58" s="1332">
        <v>6.9782999999999998E-2</v>
      </c>
      <c r="J58" s="1333">
        <v>3.3567E-2</v>
      </c>
      <c r="K58" s="1334">
        <v>2.0317000000000002E-2</v>
      </c>
      <c r="L58" s="1335">
        <v>2.12E-2</v>
      </c>
      <c r="M58" s="1326">
        <v>5.3</v>
      </c>
      <c r="N58" s="1195">
        <v>17.164781999999999</v>
      </c>
    </row>
    <row r="59" spans="1:14" ht="14" customHeight="1" x14ac:dyDescent="0.15">
      <c r="A59" s="13"/>
      <c r="B59" s="1326">
        <v>5.4</v>
      </c>
      <c r="C59" s="1324">
        <v>13.24</v>
      </c>
      <c r="D59" s="1327">
        <v>1.17</v>
      </c>
      <c r="E59" s="1328">
        <v>0.68400000000000005</v>
      </c>
      <c r="F59" s="1329">
        <v>0.964333</v>
      </c>
      <c r="G59" s="1330">
        <v>0.432</v>
      </c>
      <c r="H59" s="1331">
        <v>0.1278</v>
      </c>
      <c r="I59" s="1332">
        <v>7.1099999999999997E-2</v>
      </c>
      <c r="J59" s="1333">
        <v>3.4200000000000001E-2</v>
      </c>
      <c r="K59" s="1334">
        <v>2.07E-2</v>
      </c>
      <c r="L59" s="1335">
        <v>2.1600000000000001E-2</v>
      </c>
      <c r="M59" s="1326">
        <v>5.4</v>
      </c>
      <c r="N59" s="1195">
        <v>17.248069999999998</v>
      </c>
    </row>
    <row r="60" spans="1:14" ht="14" customHeight="1" x14ac:dyDescent="0.15">
      <c r="A60" s="13"/>
      <c r="B60" s="1326">
        <v>5.5</v>
      </c>
      <c r="C60" s="1324">
        <v>13.3</v>
      </c>
      <c r="D60" s="1327">
        <v>1.191667</v>
      </c>
      <c r="E60" s="1328">
        <v>0.69666700000000004</v>
      </c>
      <c r="F60" s="1329">
        <v>0.96583300000000005</v>
      </c>
      <c r="G60" s="1330">
        <v>0.44</v>
      </c>
      <c r="H60" s="1331">
        <v>0.130167</v>
      </c>
      <c r="I60" s="1332">
        <v>7.2416999999999995E-2</v>
      </c>
      <c r="J60" s="1333">
        <v>3.4833000000000003E-2</v>
      </c>
      <c r="K60" s="1334">
        <v>2.1083000000000001E-2</v>
      </c>
      <c r="L60" s="1335">
        <v>2.1999999999999999E-2</v>
      </c>
      <c r="M60" s="1326">
        <v>5.5</v>
      </c>
      <c r="N60" s="1195">
        <v>17.331358000000002</v>
      </c>
    </row>
    <row r="61" spans="1:14" ht="14" customHeight="1" x14ac:dyDescent="0.15">
      <c r="A61" s="13"/>
      <c r="B61" s="1326">
        <v>5.6</v>
      </c>
      <c r="C61" s="1324">
        <v>13.36</v>
      </c>
      <c r="D61" s="1327">
        <v>1.213333</v>
      </c>
      <c r="E61" s="1328">
        <v>0.70933299999999999</v>
      </c>
      <c r="F61" s="1329">
        <v>0.967333</v>
      </c>
      <c r="G61" s="1330">
        <v>0.44800000000000001</v>
      </c>
      <c r="H61" s="1331">
        <v>0.13253300000000001</v>
      </c>
      <c r="I61" s="1332">
        <v>7.3733000000000007E-2</v>
      </c>
      <c r="J61" s="1333">
        <v>3.5466999999999999E-2</v>
      </c>
      <c r="K61" s="1334">
        <v>2.1467E-2</v>
      </c>
      <c r="L61" s="1335">
        <v>2.24E-2</v>
      </c>
      <c r="M61" s="1326">
        <v>5.6</v>
      </c>
      <c r="N61" s="1195">
        <v>17.414646999999999</v>
      </c>
    </row>
    <row r="62" spans="1:14" ht="14" customHeight="1" x14ac:dyDescent="0.15">
      <c r="A62" s="13"/>
      <c r="B62" s="1326">
        <v>5.7</v>
      </c>
      <c r="C62" s="1324">
        <v>13.42</v>
      </c>
      <c r="D62" s="1327">
        <v>1.2350000000000001</v>
      </c>
      <c r="E62" s="1328">
        <v>0.72199999999999998</v>
      </c>
      <c r="F62" s="1329">
        <v>0.96883300000000006</v>
      </c>
      <c r="G62" s="1330">
        <v>0.45600000000000002</v>
      </c>
      <c r="H62" s="1331">
        <v>0.13489999999999999</v>
      </c>
      <c r="I62" s="1332">
        <v>7.5050000000000006E-2</v>
      </c>
      <c r="J62" s="1333">
        <v>3.61E-2</v>
      </c>
      <c r="K62" s="1334">
        <v>2.1850000000000001E-2</v>
      </c>
      <c r="L62" s="1335">
        <v>2.2800000000000001E-2</v>
      </c>
      <c r="M62" s="1326">
        <v>5.7</v>
      </c>
      <c r="N62" s="1195">
        <v>17.497934999999998</v>
      </c>
    </row>
    <row r="63" spans="1:14" ht="14" customHeight="1" x14ac:dyDescent="0.15">
      <c r="A63" s="13"/>
      <c r="B63" s="1326">
        <v>5.8</v>
      </c>
      <c r="C63" s="1324">
        <v>13.48</v>
      </c>
      <c r="D63" s="1327">
        <v>1.256667</v>
      </c>
      <c r="E63" s="1328">
        <v>0.73466699999999996</v>
      </c>
      <c r="F63" s="1329">
        <v>0.970333</v>
      </c>
      <c r="G63" s="1330">
        <v>0.46400000000000002</v>
      </c>
      <c r="H63" s="1331">
        <v>0.137267</v>
      </c>
      <c r="I63" s="1332">
        <v>7.6367000000000004E-2</v>
      </c>
      <c r="J63" s="1333">
        <v>3.6733000000000002E-2</v>
      </c>
      <c r="K63" s="1334">
        <v>2.2232999999999999E-2</v>
      </c>
      <c r="L63" s="1335">
        <v>2.3199999999999998E-2</v>
      </c>
      <c r="M63" s="1326">
        <v>5.8</v>
      </c>
      <c r="N63" s="1195">
        <v>17.581223000000001</v>
      </c>
    </row>
    <row r="64" spans="1:14" ht="14" customHeight="1" x14ac:dyDescent="0.15">
      <c r="A64" s="13"/>
      <c r="B64" s="1326">
        <v>5.9</v>
      </c>
      <c r="C64" s="1324">
        <v>13.54</v>
      </c>
      <c r="D64" s="1327">
        <v>1.2783329999999999</v>
      </c>
      <c r="E64" s="1328">
        <v>0.74733300000000003</v>
      </c>
      <c r="F64" s="1329">
        <v>0.97183299999999995</v>
      </c>
      <c r="G64" s="1330">
        <v>0.47199999999999998</v>
      </c>
      <c r="H64" s="1331">
        <v>0.13963300000000001</v>
      </c>
      <c r="I64" s="1332">
        <v>7.7683000000000002E-2</v>
      </c>
      <c r="J64" s="1333">
        <v>3.7366999999999997E-2</v>
      </c>
      <c r="K64" s="1334">
        <v>2.2617000000000002E-2</v>
      </c>
      <c r="L64" s="1335">
        <v>2.3599999999999999E-2</v>
      </c>
      <c r="M64" s="1326">
        <v>5.9</v>
      </c>
      <c r="N64" s="1195">
        <v>17.664511999999998</v>
      </c>
    </row>
    <row r="65" spans="1:14" ht="14" customHeight="1" x14ac:dyDescent="0.15">
      <c r="A65" s="13"/>
      <c r="B65" s="1305">
        <v>6</v>
      </c>
      <c r="C65" s="1324">
        <v>13.6</v>
      </c>
      <c r="D65" s="1345">
        <v>1.3</v>
      </c>
      <c r="E65" s="1346">
        <v>0.76</v>
      </c>
      <c r="F65" s="1329">
        <v>0.973333</v>
      </c>
      <c r="G65" s="1347">
        <v>0.48</v>
      </c>
      <c r="H65" s="1348">
        <v>0.14199999999999999</v>
      </c>
      <c r="I65" s="1349">
        <v>7.9000000000000001E-2</v>
      </c>
      <c r="J65" s="1350">
        <v>3.7999999999999999E-2</v>
      </c>
      <c r="K65" s="1351">
        <v>2.3E-2</v>
      </c>
      <c r="L65" s="1352">
        <v>2.4E-2</v>
      </c>
      <c r="M65" s="1305">
        <v>6</v>
      </c>
      <c r="N65" s="1195">
        <v>17.747800000000002</v>
      </c>
    </row>
    <row r="66" spans="1:14" ht="14" customHeight="1" x14ac:dyDescent="0.15">
      <c r="A66" s="13"/>
      <c r="B66" s="1326">
        <v>6.1</v>
      </c>
      <c r="C66" s="1324">
        <v>13.66</v>
      </c>
      <c r="D66" s="1327">
        <v>1.3216669999999999</v>
      </c>
      <c r="E66" s="1328">
        <v>0.77266699999999999</v>
      </c>
      <c r="F66" s="1329">
        <v>0.97483299999999995</v>
      </c>
      <c r="G66" s="1330">
        <v>0.48799999999999999</v>
      </c>
      <c r="H66" s="1331">
        <v>0.144367</v>
      </c>
      <c r="I66" s="1332">
        <v>8.0317E-2</v>
      </c>
      <c r="J66" s="1333">
        <v>3.8633000000000001E-2</v>
      </c>
      <c r="K66" s="1334">
        <v>2.3383000000000001E-2</v>
      </c>
      <c r="L66" s="1335">
        <v>2.4400000000000002E-2</v>
      </c>
      <c r="M66" s="1326">
        <v>6.1</v>
      </c>
      <c r="N66" s="1195">
        <v>17.831088000000001</v>
      </c>
    </row>
    <row r="67" spans="1:14" ht="14" customHeight="1" x14ac:dyDescent="0.15">
      <c r="A67" s="13"/>
      <c r="B67" s="1326">
        <v>6.2</v>
      </c>
      <c r="C67" s="1324">
        <v>13.72</v>
      </c>
      <c r="D67" s="1327">
        <v>1.3433330000000001</v>
      </c>
      <c r="E67" s="1328">
        <v>0.78533299999999995</v>
      </c>
      <c r="F67" s="1329">
        <v>0.97633300000000001</v>
      </c>
      <c r="G67" s="1330">
        <v>0.496</v>
      </c>
      <c r="H67" s="1331">
        <v>0.146733</v>
      </c>
      <c r="I67" s="1332">
        <v>8.1632999999999997E-2</v>
      </c>
      <c r="J67" s="1333">
        <v>3.9267000000000003E-2</v>
      </c>
      <c r="K67" s="1334">
        <v>2.3767E-2</v>
      </c>
      <c r="L67" s="1335">
        <v>2.4799999999999999E-2</v>
      </c>
      <c r="M67" s="1326">
        <v>6.2</v>
      </c>
      <c r="N67" s="1195">
        <v>17.914377000000002</v>
      </c>
    </row>
    <row r="68" spans="1:14" ht="14" customHeight="1" x14ac:dyDescent="0.15">
      <c r="A68" s="13"/>
      <c r="B68" s="1326">
        <v>6.3</v>
      </c>
      <c r="C68" s="1324">
        <v>13.78</v>
      </c>
      <c r="D68" s="1327">
        <v>1.365</v>
      </c>
      <c r="E68" s="1328">
        <v>0.79800000000000004</v>
      </c>
      <c r="F68" s="1329">
        <v>0.97783299999999995</v>
      </c>
      <c r="G68" s="1330">
        <v>0.504</v>
      </c>
      <c r="H68" s="1331">
        <v>0.14910000000000001</v>
      </c>
      <c r="I68" s="1332">
        <v>8.2949999999999996E-2</v>
      </c>
      <c r="J68" s="1333">
        <v>3.9899999999999998E-2</v>
      </c>
      <c r="K68" s="1334">
        <v>2.4150000000000001E-2</v>
      </c>
      <c r="L68" s="1335">
        <v>2.52E-2</v>
      </c>
      <c r="M68" s="1326">
        <v>6.3</v>
      </c>
      <c r="N68" s="1195">
        <v>17.997665000000001</v>
      </c>
    </row>
    <row r="69" spans="1:14" ht="14" customHeight="1" x14ac:dyDescent="0.15">
      <c r="A69" s="13"/>
      <c r="B69" s="1326">
        <v>6.4</v>
      </c>
      <c r="C69" s="1324">
        <v>13.84</v>
      </c>
      <c r="D69" s="1327">
        <v>1.3866670000000001</v>
      </c>
      <c r="E69" s="1328">
        <v>0.81066700000000003</v>
      </c>
      <c r="F69" s="1329">
        <v>0.97933300000000001</v>
      </c>
      <c r="G69" s="1330">
        <v>0.51200000000000001</v>
      </c>
      <c r="H69" s="1331">
        <v>0.15146699999999999</v>
      </c>
      <c r="I69" s="1332">
        <v>8.4266999999999995E-2</v>
      </c>
      <c r="J69" s="1333">
        <v>4.0533E-2</v>
      </c>
      <c r="K69" s="1334">
        <v>2.4532999999999999E-2</v>
      </c>
      <c r="L69" s="1335">
        <v>2.5600000000000001E-2</v>
      </c>
      <c r="M69" s="1326">
        <v>6.4</v>
      </c>
      <c r="N69" s="1195">
        <v>18.080953000000001</v>
      </c>
    </row>
    <row r="70" spans="1:14" ht="14" customHeight="1" x14ac:dyDescent="0.15">
      <c r="A70" s="13"/>
      <c r="B70" s="1326">
        <v>6.5</v>
      </c>
      <c r="C70" s="1324">
        <v>13.9</v>
      </c>
      <c r="D70" s="1327">
        <v>1.4083330000000001</v>
      </c>
      <c r="E70" s="1328">
        <v>0.82333299999999998</v>
      </c>
      <c r="F70" s="1329">
        <v>0.98083299999999995</v>
      </c>
      <c r="G70" s="1330">
        <v>0.52</v>
      </c>
      <c r="H70" s="1331">
        <v>0.153833</v>
      </c>
      <c r="I70" s="1332">
        <v>8.5583000000000006E-2</v>
      </c>
      <c r="J70" s="1333">
        <v>4.1167000000000002E-2</v>
      </c>
      <c r="K70" s="1334">
        <v>2.4917000000000002E-2</v>
      </c>
      <c r="L70" s="1335">
        <v>2.5999999999999999E-2</v>
      </c>
      <c r="M70" s="1326">
        <v>6.5</v>
      </c>
      <c r="N70" s="1195">
        <v>18.164242000000002</v>
      </c>
    </row>
    <row r="71" spans="1:14" ht="14" customHeight="1" x14ac:dyDescent="0.15">
      <c r="A71" s="13"/>
      <c r="B71" s="1326">
        <v>6.6</v>
      </c>
      <c r="C71" s="1324">
        <v>13.96</v>
      </c>
      <c r="D71" s="1327">
        <v>1.43</v>
      </c>
      <c r="E71" s="1328">
        <v>0.83599999999999997</v>
      </c>
      <c r="F71" s="1329">
        <v>0.98233300000000001</v>
      </c>
      <c r="G71" s="1330">
        <v>0.52800000000000002</v>
      </c>
      <c r="H71" s="1331">
        <v>0.15620000000000001</v>
      </c>
      <c r="I71" s="1332">
        <v>8.6900000000000005E-2</v>
      </c>
      <c r="J71" s="1333">
        <v>4.1799999999999997E-2</v>
      </c>
      <c r="K71" s="1334">
        <v>2.53E-2</v>
      </c>
      <c r="L71" s="1335">
        <v>2.64E-2</v>
      </c>
      <c r="M71" s="1326">
        <v>6.6</v>
      </c>
      <c r="N71" s="1195">
        <v>18.247530000000001</v>
      </c>
    </row>
    <row r="72" spans="1:14" ht="14" customHeight="1" x14ac:dyDescent="0.15">
      <c r="A72" s="13"/>
      <c r="B72" s="1326">
        <v>6.7</v>
      </c>
      <c r="C72" s="1324">
        <v>14.02</v>
      </c>
      <c r="D72" s="1327">
        <v>1.451667</v>
      </c>
      <c r="E72" s="1328">
        <v>0.84866699999999995</v>
      </c>
      <c r="F72" s="1329">
        <v>0.98383299999999996</v>
      </c>
      <c r="G72" s="1330">
        <v>0.53600000000000003</v>
      </c>
      <c r="H72" s="1331">
        <v>0.15856700000000001</v>
      </c>
      <c r="I72" s="1332">
        <v>8.8217000000000004E-2</v>
      </c>
      <c r="J72" s="1333">
        <v>4.2432999999999998E-2</v>
      </c>
      <c r="K72" s="1334">
        <v>2.5683000000000001E-2</v>
      </c>
      <c r="L72" s="1335">
        <v>2.6800000000000001E-2</v>
      </c>
      <c r="M72" s="1326">
        <v>6.7</v>
      </c>
      <c r="N72" s="1195">
        <v>18.330818000000001</v>
      </c>
    </row>
    <row r="73" spans="1:14" ht="14" customHeight="1" x14ac:dyDescent="0.15">
      <c r="A73" s="13"/>
      <c r="B73" s="1326">
        <v>6.8</v>
      </c>
      <c r="C73" s="1324">
        <v>14.08</v>
      </c>
      <c r="D73" s="1327">
        <v>1.473333</v>
      </c>
      <c r="E73" s="1328">
        <v>0.86133300000000002</v>
      </c>
      <c r="F73" s="1329">
        <v>0.98533300000000001</v>
      </c>
      <c r="G73" s="1330">
        <v>0.54400000000000004</v>
      </c>
      <c r="H73" s="1331">
        <v>0.16093299999999999</v>
      </c>
      <c r="I73" s="1332">
        <v>8.9533000000000001E-2</v>
      </c>
      <c r="J73" s="1333">
        <v>4.3067000000000001E-2</v>
      </c>
      <c r="K73" s="1334">
        <v>2.6067E-2</v>
      </c>
      <c r="L73" s="1335">
        <v>2.7199999999999998E-2</v>
      </c>
      <c r="M73" s="1326">
        <v>6.8</v>
      </c>
      <c r="N73" s="1195">
        <v>18.414107000000001</v>
      </c>
    </row>
    <row r="74" spans="1:14" ht="14" customHeight="1" x14ac:dyDescent="0.15">
      <c r="A74" s="13"/>
      <c r="B74" s="1326">
        <v>6.9</v>
      </c>
      <c r="C74" s="1324">
        <v>14.14</v>
      </c>
      <c r="D74" s="1327">
        <v>1.4950000000000001</v>
      </c>
      <c r="E74" s="1328">
        <v>0.874</v>
      </c>
      <c r="F74" s="1329">
        <v>0.98683299999999996</v>
      </c>
      <c r="G74" s="1330">
        <v>0.55200000000000005</v>
      </c>
      <c r="H74" s="1331">
        <v>0.1633</v>
      </c>
      <c r="I74" s="1332">
        <v>9.085E-2</v>
      </c>
      <c r="J74" s="1333">
        <v>4.3700000000000003E-2</v>
      </c>
      <c r="K74" s="1334">
        <v>2.6450000000000001E-2</v>
      </c>
      <c r="L74" s="1335">
        <v>2.76E-2</v>
      </c>
      <c r="M74" s="1326">
        <v>6.9</v>
      </c>
      <c r="N74" s="1195">
        <v>18.497395000000001</v>
      </c>
    </row>
    <row r="75" spans="1:14" ht="14" customHeight="1" x14ac:dyDescent="0.15">
      <c r="A75" s="13"/>
      <c r="B75" s="1305">
        <v>7</v>
      </c>
      <c r="C75" s="1324">
        <v>14.2</v>
      </c>
      <c r="D75" s="1345">
        <v>1.516667</v>
      </c>
      <c r="E75" s="1346">
        <v>0.88666699999999998</v>
      </c>
      <c r="F75" s="1329">
        <v>0.98833300000000002</v>
      </c>
      <c r="G75" s="1347">
        <v>0.56000000000000005</v>
      </c>
      <c r="H75" s="1348">
        <v>0.16566700000000001</v>
      </c>
      <c r="I75" s="1349">
        <v>9.2166999999999999E-2</v>
      </c>
      <c r="J75" s="1350">
        <v>4.4332999999999997E-2</v>
      </c>
      <c r="K75" s="1351">
        <v>2.6832999999999999E-2</v>
      </c>
      <c r="L75" s="1352">
        <v>2.8000000000000001E-2</v>
      </c>
      <c r="M75" s="1305">
        <v>7</v>
      </c>
      <c r="N75" s="1195">
        <v>18.580683000000001</v>
      </c>
    </row>
    <row r="76" spans="1:14" ht="14" customHeight="1" x14ac:dyDescent="0.15">
      <c r="A76" s="13"/>
      <c r="B76" s="1326">
        <v>7.1</v>
      </c>
      <c r="C76" s="1324">
        <v>14.26</v>
      </c>
      <c r="D76" s="1327">
        <v>1.538333</v>
      </c>
      <c r="E76" s="1328">
        <v>0.89933300000000005</v>
      </c>
      <c r="F76" s="1329">
        <v>0.98983299999999996</v>
      </c>
      <c r="G76" s="1330">
        <v>0.56799999999999995</v>
      </c>
      <c r="H76" s="1331">
        <v>0.16803299999999999</v>
      </c>
      <c r="I76" s="1332">
        <v>9.3482999999999997E-2</v>
      </c>
      <c r="J76" s="1333">
        <v>4.4967E-2</v>
      </c>
      <c r="K76" s="1334">
        <v>2.7217000000000002E-2</v>
      </c>
      <c r="L76" s="1335">
        <v>2.8400000000000002E-2</v>
      </c>
      <c r="M76" s="1326">
        <v>7.1</v>
      </c>
      <c r="N76" s="1195">
        <v>18.663972000000001</v>
      </c>
    </row>
    <row r="77" spans="1:14" ht="14" customHeight="1" x14ac:dyDescent="0.15">
      <c r="A77" s="13"/>
      <c r="B77" s="1326">
        <v>7.2</v>
      </c>
      <c r="C77" s="1324">
        <v>14.32</v>
      </c>
      <c r="D77" s="1327">
        <v>1.56</v>
      </c>
      <c r="E77" s="1328">
        <v>0.91200000000000003</v>
      </c>
      <c r="F77" s="1329">
        <v>0.99133300000000002</v>
      </c>
      <c r="G77" s="1330">
        <v>0.57599999999999996</v>
      </c>
      <c r="H77" s="1331">
        <v>0.1704</v>
      </c>
      <c r="I77" s="1332">
        <v>9.4799999999999995E-2</v>
      </c>
      <c r="J77" s="1333">
        <v>4.5600000000000002E-2</v>
      </c>
      <c r="K77" s="1334">
        <v>2.76E-2</v>
      </c>
      <c r="L77" s="1335">
        <v>2.8799999999999999E-2</v>
      </c>
      <c r="M77" s="1326">
        <v>7.2</v>
      </c>
      <c r="N77" s="1195">
        <v>18.747260000000001</v>
      </c>
    </row>
    <row r="78" spans="1:14" ht="14" customHeight="1" x14ac:dyDescent="0.15">
      <c r="A78" s="13"/>
      <c r="B78" s="1326">
        <v>7.3</v>
      </c>
      <c r="C78" s="1324">
        <v>14.38</v>
      </c>
      <c r="D78" s="1327">
        <v>1.5816669999999999</v>
      </c>
      <c r="E78" s="1328">
        <v>0.92466700000000002</v>
      </c>
      <c r="F78" s="1329">
        <v>0.99283299999999997</v>
      </c>
      <c r="G78" s="1330">
        <v>0.58399999999999996</v>
      </c>
      <c r="H78" s="1331">
        <v>0.172767</v>
      </c>
      <c r="I78" s="1332">
        <v>9.6116999999999994E-2</v>
      </c>
      <c r="J78" s="1333">
        <v>4.6233000000000003E-2</v>
      </c>
      <c r="K78" s="1334">
        <v>2.7983000000000001E-2</v>
      </c>
      <c r="L78" s="1335">
        <v>2.92E-2</v>
      </c>
      <c r="M78" s="1326">
        <v>7.3</v>
      </c>
      <c r="N78" s="1195">
        <v>18.830548</v>
      </c>
    </row>
    <row r="79" spans="1:14" ht="14" customHeight="1" x14ac:dyDescent="0.15">
      <c r="A79" s="13"/>
      <c r="B79" s="1326">
        <v>7.4</v>
      </c>
      <c r="C79" s="1324">
        <v>14.44</v>
      </c>
      <c r="D79" s="1327">
        <v>1.6033329999999999</v>
      </c>
      <c r="E79" s="1328">
        <v>0.93733299999999997</v>
      </c>
      <c r="F79" s="1329">
        <v>0.99433300000000002</v>
      </c>
      <c r="G79" s="1330">
        <v>0.59199999999999997</v>
      </c>
      <c r="H79" s="1331">
        <v>0.17513300000000001</v>
      </c>
      <c r="I79" s="1332">
        <v>9.7433000000000006E-2</v>
      </c>
      <c r="J79" s="1333">
        <v>4.6866999999999999E-2</v>
      </c>
      <c r="K79" s="1334">
        <v>2.8367E-2</v>
      </c>
      <c r="L79" s="1335">
        <v>2.9600000000000001E-2</v>
      </c>
      <c r="M79" s="1326">
        <v>7.4</v>
      </c>
      <c r="N79" s="1195">
        <v>18.913837000000001</v>
      </c>
    </row>
    <row r="80" spans="1:14" ht="14" customHeight="1" x14ac:dyDescent="0.15">
      <c r="A80" s="13"/>
      <c r="B80" s="1326">
        <v>7.5</v>
      </c>
      <c r="C80" s="1324">
        <v>14.5</v>
      </c>
      <c r="D80" s="1327">
        <v>1.625</v>
      </c>
      <c r="E80" s="1328">
        <v>0.95</v>
      </c>
      <c r="F80" s="1329">
        <v>0.99583299999999997</v>
      </c>
      <c r="G80" s="1330">
        <v>0.6</v>
      </c>
      <c r="H80" s="1331">
        <v>0.17749999999999999</v>
      </c>
      <c r="I80" s="1332">
        <v>9.8750000000000004E-2</v>
      </c>
      <c r="J80" s="1333">
        <v>4.7500000000000001E-2</v>
      </c>
      <c r="K80" s="1334">
        <v>2.8750000000000001E-2</v>
      </c>
      <c r="L80" s="1335">
        <v>0.03</v>
      </c>
      <c r="M80" s="1326">
        <v>7.5</v>
      </c>
      <c r="N80" s="1195">
        <v>18.997125</v>
      </c>
    </row>
    <row r="81" spans="1:14" ht="14" customHeight="1" x14ac:dyDescent="0.15">
      <c r="A81" s="13"/>
      <c r="B81" s="1326">
        <v>7.6</v>
      </c>
      <c r="C81" s="1324">
        <v>14.56</v>
      </c>
      <c r="D81" s="1327">
        <v>1.6466670000000001</v>
      </c>
      <c r="E81" s="1328">
        <v>0.96266700000000005</v>
      </c>
      <c r="F81" s="1329">
        <v>0.99733300000000003</v>
      </c>
      <c r="G81" s="1330">
        <v>0.60799999999999998</v>
      </c>
      <c r="H81" s="1331">
        <v>0.179867</v>
      </c>
      <c r="I81" s="1332">
        <v>0.100067</v>
      </c>
      <c r="J81" s="1333">
        <v>4.8133000000000002E-2</v>
      </c>
      <c r="K81" s="1334">
        <v>2.9132999999999999E-2</v>
      </c>
      <c r="L81" s="1335">
        <v>3.04E-2</v>
      </c>
      <c r="M81" s="1326">
        <v>7.6</v>
      </c>
      <c r="N81" s="1195">
        <v>19.080413</v>
      </c>
    </row>
    <row r="82" spans="1:14" ht="14" customHeight="1" x14ac:dyDescent="0.15">
      <c r="A82" s="13"/>
      <c r="B82" s="1326">
        <v>7.7</v>
      </c>
      <c r="C82" s="1324">
        <v>14.62</v>
      </c>
      <c r="D82" s="1327">
        <v>1.6683330000000001</v>
      </c>
      <c r="E82" s="1328">
        <v>0.97533300000000001</v>
      </c>
      <c r="F82" s="1329">
        <v>0.99883299999999997</v>
      </c>
      <c r="G82" s="1330">
        <v>0.61599999999999999</v>
      </c>
      <c r="H82" s="1331">
        <v>0.18223300000000001</v>
      </c>
      <c r="I82" s="1332">
        <v>0.101383</v>
      </c>
      <c r="J82" s="1333">
        <v>4.8766999999999998E-2</v>
      </c>
      <c r="K82" s="1334">
        <v>2.9517000000000002E-2</v>
      </c>
      <c r="L82" s="1335">
        <v>3.0800000000000001E-2</v>
      </c>
      <c r="M82" s="1326">
        <v>7.7</v>
      </c>
      <c r="N82" s="1195">
        <v>19.163702000000001</v>
      </c>
    </row>
    <row r="83" spans="1:14" ht="14" customHeight="1" x14ac:dyDescent="0.15">
      <c r="A83" s="13"/>
      <c r="B83" s="1326">
        <v>7.8</v>
      </c>
      <c r="C83" s="1324">
        <v>14.68</v>
      </c>
      <c r="D83" s="1327">
        <v>1.69</v>
      </c>
      <c r="E83" s="1328">
        <v>0.98799999999999999</v>
      </c>
      <c r="F83" s="1329">
        <v>1.0003329999999999</v>
      </c>
      <c r="G83" s="1330">
        <v>0.624</v>
      </c>
      <c r="H83" s="1331">
        <v>0.18459999999999999</v>
      </c>
      <c r="I83" s="1332">
        <v>0.1027</v>
      </c>
      <c r="J83" s="1333">
        <v>4.9399999999999999E-2</v>
      </c>
      <c r="K83" s="1334">
        <v>2.9899999999999999E-2</v>
      </c>
      <c r="L83" s="1335">
        <v>3.1199999999999999E-2</v>
      </c>
      <c r="M83" s="1326">
        <v>7.8</v>
      </c>
      <c r="N83" s="1195">
        <v>19.24699</v>
      </c>
    </row>
    <row r="84" spans="1:14" ht="14" customHeight="1" x14ac:dyDescent="0.15">
      <c r="A84" s="13"/>
      <c r="B84" s="1326">
        <v>7.9</v>
      </c>
      <c r="C84" s="1324">
        <v>14.74</v>
      </c>
      <c r="D84" s="1327">
        <v>1.711667</v>
      </c>
      <c r="E84" s="1328">
        <v>1.000667</v>
      </c>
      <c r="F84" s="1329">
        <v>1.001833</v>
      </c>
      <c r="G84" s="1330">
        <v>0.63200000000000001</v>
      </c>
      <c r="H84" s="1331">
        <v>0.18696699999999999</v>
      </c>
      <c r="I84" s="1332">
        <v>0.104017</v>
      </c>
      <c r="J84" s="1333">
        <v>5.0033000000000001E-2</v>
      </c>
      <c r="K84" s="1334">
        <v>3.0283000000000001E-2</v>
      </c>
      <c r="L84" s="1335">
        <v>3.1600000000000003E-2</v>
      </c>
      <c r="M84" s="1326">
        <v>7.9</v>
      </c>
      <c r="N84" s="1195">
        <v>19.330278</v>
      </c>
    </row>
    <row r="85" spans="1:14" ht="14" customHeight="1" x14ac:dyDescent="0.15">
      <c r="A85" s="13"/>
      <c r="B85" s="1305">
        <v>8</v>
      </c>
      <c r="C85" s="1324">
        <v>14.8</v>
      </c>
      <c r="D85" s="1345">
        <v>1.733333</v>
      </c>
      <c r="E85" s="1346">
        <v>1.013333</v>
      </c>
      <c r="F85" s="1329">
        <v>1.003333</v>
      </c>
      <c r="G85" s="1347">
        <v>0.64</v>
      </c>
      <c r="H85" s="1348">
        <v>0.189333</v>
      </c>
      <c r="I85" s="1349">
        <v>0.105333</v>
      </c>
      <c r="J85" s="1350">
        <v>5.0666999999999997E-2</v>
      </c>
      <c r="K85" s="1351">
        <v>3.0667E-2</v>
      </c>
      <c r="L85" s="1352">
        <v>3.2000000000000001E-2</v>
      </c>
      <c r="M85" s="1305">
        <v>8</v>
      </c>
      <c r="N85" s="1195">
        <v>19.413567</v>
      </c>
    </row>
    <row r="86" spans="1:14" ht="14" customHeight="1" x14ac:dyDescent="0.15">
      <c r="A86" s="13"/>
      <c r="B86" s="1326">
        <v>8.1</v>
      </c>
      <c r="C86" s="1324">
        <v>14.86</v>
      </c>
      <c r="D86" s="1327">
        <v>1.7549999999999999</v>
      </c>
      <c r="E86" s="1328">
        <v>1.026</v>
      </c>
      <c r="F86" s="1329">
        <v>1.0048330000000001</v>
      </c>
      <c r="G86" s="1330">
        <v>0.64800000000000002</v>
      </c>
      <c r="H86" s="1331">
        <v>0.19170000000000001</v>
      </c>
      <c r="I86" s="1332">
        <v>0.10664999999999999</v>
      </c>
      <c r="J86" s="1333">
        <v>5.1299999999999998E-2</v>
      </c>
      <c r="K86" s="1334">
        <v>3.1050000000000001E-2</v>
      </c>
      <c r="L86" s="1335">
        <v>3.2399999999999998E-2</v>
      </c>
      <c r="M86" s="1326">
        <v>8.1</v>
      </c>
      <c r="N86" s="1195">
        <v>19.496855</v>
      </c>
    </row>
    <row r="87" spans="1:14" ht="14" customHeight="1" x14ac:dyDescent="0.15">
      <c r="A87" s="13"/>
      <c r="B87" s="1326">
        <v>8.1999999999999993</v>
      </c>
      <c r="C87" s="1324">
        <v>14.92</v>
      </c>
      <c r="D87" s="1327">
        <v>1.776667</v>
      </c>
      <c r="E87" s="1328">
        <v>1.038667</v>
      </c>
      <c r="F87" s="1329">
        <v>1.0063329999999999</v>
      </c>
      <c r="G87" s="1330">
        <v>0.65600000000000003</v>
      </c>
      <c r="H87" s="1331">
        <v>0.19406699999999999</v>
      </c>
      <c r="I87" s="1332">
        <v>0.10796699999999999</v>
      </c>
      <c r="J87" s="1333">
        <v>5.1933E-2</v>
      </c>
      <c r="K87" s="1334">
        <v>3.1433000000000003E-2</v>
      </c>
      <c r="L87" s="1335">
        <v>3.2800000000000003E-2</v>
      </c>
      <c r="M87" s="1326">
        <v>8.1999999999999993</v>
      </c>
      <c r="N87" s="1195">
        <v>19.580143</v>
      </c>
    </row>
    <row r="88" spans="1:14" ht="14" customHeight="1" x14ac:dyDescent="0.15">
      <c r="A88" s="13"/>
      <c r="B88" s="1326">
        <v>8.3000000000000007</v>
      </c>
      <c r="C88" s="1324">
        <v>14.98</v>
      </c>
      <c r="D88" s="1327">
        <v>1.798333</v>
      </c>
      <c r="E88" s="1328">
        <v>1.0513330000000001</v>
      </c>
      <c r="F88" s="1329">
        <v>1.007833</v>
      </c>
      <c r="G88" s="1330">
        <v>0.66400000000000003</v>
      </c>
      <c r="H88" s="1331">
        <v>0.196433</v>
      </c>
      <c r="I88" s="1332">
        <v>0.10928300000000001</v>
      </c>
      <c r="J88" s="1333">
        <v>5.2567000000000003E-2</v>
      </c>
      <c r="K88" s="1334">
        <v>3.1816999999999998E-2</v>
      </c>
      <c r="L88" s="1335">
        <v>3.32E-2</v>
      </c>
      <c r="M88" s="1326">
        <v>8.3000000000000007</v>
      </c>
      <c r="N88" s="1195">
        <v>19.663432</v>
      </c>
    </row>
    <row r="89" spans="1:14" ht="14" customHeight="1" x14ac:dyDescent="0.15">
      <c r="A89" s="13"/>
      <c r="B89" s="1326">
        <v>8.4</v>
      </c>
      <c r="C89" s="1324">
        <v>15.04</v>
      </c>
      <c r="D89" s="1327">
        <v>1.82</v>
      </c>
      <c r="E89" s="1328">
        <v>1.0640000000000001</v>
      </c>
      <c r="F89" s="1329">
        <v>1.009333</v>
      </c>
      <c r="G89" s="1330">
        <v>0.67200000000000004</v>
      </c>
      <c r="H89" s="1331">
        <v>0.1988</v>
      </c>
      <c r="I89" s="1332">
        <v>0.1106</v>
      </c>
      <c r="J89" s="1333">
        <v>5.3199999999999997E-2</v>
      </c>
      <c r="K89" s="1334">
        <v>3.2199999999999999E-2</v>
      </c>
      <c r="L89" s="1335">
        <v>3.3599999999999998E-2</v>
      </c>
      <c r="M89" s="1326">
        <v>8.4</v>
      </c>
      <c r="N89" s="1195">
        <v>19.74672</v>
      </c>
    </row>
    <row r="90" spans="1:14" ht="14" customHeight="1" x14ac:dyDescent="0.15">
      <c r="A90" s="13"/>
      <c r="B90" s="1326">
        <v>8.5</v>
      </c>
      <c r="C90" s="1324">
        <v>15.1</v>
      </c>
      <c r="D90" s="1327">
        <v>1.8416669999999999</v>
      </c>
      <c r="E90" s="1328">
        <v>1.076667</v>
      </c>
      <c r="F90" s="1329">
        <v>1.0108330000000001</v>
      </c>
      <c r="G90" s="1330">
        <v>0.68</v>
      </c>
      <c r="H90" s="1331">
        <v>0.20116700000000001</v>
      </c>
      <c r="I90" s="1332">
        <v>0.111917</v>
      </c>
      <c r="J90" s="1333">
        <v>5.3832999999999999E-2</v>
      </c>
      <c r="K90" s="1334">
        <v>3.2583000000000001E-2</v>
      </c>
      <c r="L90" s="1335">
        <v>3.4000000000000002E-2</v>
      </c>
      <c r="M90" s="1326">
        <v>8.5</v>
      </c>
      <c r="N90" s="1195">
        <v>19.830007999999999</v>
      </c>
    </row>
    <row r="91" spans="1:14" ht="14" customHeight="1" x14ac:dyDescent="0.15">
      <c r="A91" s="13"/>
      <c r="B91" s="1326">
        <v>8.6</v>
      </c>
      <c r="C91" s="1324">
        <v>15.16</v>
      </c>
      <c r="D91" s="1327">
        <v>1.8633329999999999</v>
      </c>
      <c r="E91" s="1328">
        <v>1.0893330000000001</v>
      </c>
      <c r="F91" s="1329">
        <v>1.0123329999999999</v>
      </c>
      <c r="G91" s="1330">
        <v>0.68799999999999994</v>
      </c>
      <c r="H91" s="1331">
        <v>0.20353299999999999</v>
      </c>
      <c r="I91" s="1332">
        <v>0.113233</v>
      </c>
      <c r="J91" s="1333">
        <v>5.4467000000000002E-2</v>
      </c>
      <c r="K91" s="1334">
        <v>3.2967000000000003E-2</v>
      </c>
      <c r="L91" s="1335">
        <v>3.44E-2</v>
      </c>
      <c r="M91" s="1326">
        <v>8.6</v>
      </c>
      <c r="N91" s="1195">
        <v>19.913297</v>
      </c>
    </row>
    <row r="92" spans="1:14" ht="14" customHeight="1" x14ac:dyDescent="0.15">
      <c r="A92" s="13"/>
      <c r="B92" s="1326">
        <v>8.6999999999999993</v>
      </c>
      <c r="C92" s="1324">
        <v>15.22</v>
      </c>
      <c r="D92" s="1327">
        <v>1.885</v>
      </c>
      <c r="E92" s="1328">
        <v>1.1020000000000001</v>
      </c>
      <c r="F92" s="1329">
        <v>1.013833</v>
      </c>
      <c r="G92" s="1330">
        <v>0.69599999999999995</v>
      </c>
      <c r="H92" s="1331">
        <v>0.2059</v>
      </c>
      <c r="I92" s="1332">
        <v>0.11455</v>
      </c>
      <c r="J92" s="1333">
        <v>5.5100000000000003E-2</v>
      </c>
      <c r="K92" s="1334">
        <v>3.3349999999999998E-2</v>
      </c>
      <c r="L92" s="1335">
        <v>3.4799999999999998E-2</v>
      </c>
      <c r="M92" s="1326">
        <v>8.6999999999999993</v>
      </c>
      <c r="N92" s="1195">
        <v>19.996585</v>
      </c>
    </row>
    <row r="93" spans="1:14" ht="14" customHeight="1" x14ac:dyDescent="0.15">
      <c r="A93" s="13"/>
      <c r="B93" s="1326">
        <v>8.8000000000000007</v>
      </c>
      <c r="C93" s="1324">
        <v>15.28</v>
      </c>
      <c r="D93" s="1327">
        <v>1.9066669999999999</v>
      </c>
      <c r="E93" s="1328">
        <v>1.1146670000000001</v>
      </c>
      <c r="F93" s="1329">
        <v>1.015333</v>
      </c>
      <c r="G93" s="1330">
        <v>0.70399999999999996</v>
      </c>
      <c r="H93" s="1331">
        <v>0.20826700000000001</v>
      </c>
      <c r="I93" s="1332">
        <v>0.115867</v>
      </c>
      <c r="J93" s="1333">
        <v>5.5732999999999998E-2</v>
      </c>
      <c r="K93" s="1334">
        <v>3.3732999999999999E-2</v>
      </c>
      <c r="L93" s="1335">
        <v>3.5200000000000002E-2</v>
      </c>
      <c r="M93" s="1326">
        <v>8.8000000000000007</v>
      </c>
      <c r="N93" s="1195">
        <v>20.079872999999999</v>
      </c>
    </row>
    <row r="94" spans="1:14" ht="14" customHeight="1" x14ac:dyDescent="0.15">
      <c r="A94" s="13"/>
      <c r="B94" s="1326">
        <v>8.9</v>
      </c>
      <c r="C94" s="1324">
        <v>15.34</v>
      </c>
      <c r="D94" s="1327">
        <v>1.9283330000000001</v>
      </c>
      <c r="E94" s="1328">
        <v>1.1273329999999999</v>
      </c>
      <c r="F94" s="1329">
        <v>1.0168330000000001</v>
      </c>
      <c r="G94" s="1330">
        <v>0.71199999999999997</v>
      </c>
      <c r="H94" s="1331">
        <v>0.21063299999999999</v>
      </c>
      <c r="I94" s="1332">
        <v>0.117183</v>
      </c>
      <c r="J94" s="1333">
        <v>5.6367E-2</v>
      </c>
      <c r="K94" s="1334">
        <v>3.4117000000000001E-2</v>
      </c>
      <c r="L94" s="1335">
        <v>3.56E-2</v>
      </c>
      <c r="M94" s="1326">
        <v>8.9</v>
      </c>
      <c r="N94" s="1195">
        <v>20.163162</v>
      </c>
    </row>
    <row r="95" spans="1:14" ht="14" customHeight="1" x14ac:dyDescent="0.15">
      <c r="A95" s="13"/>
      <c r="B95" s="1305">
        <v>9</v>
      </c>
      <c r="C95" s="1324">
        <v>15.4</v>
      </c>
      <c r="D95" s="1345">
        <v>1.95</v>
      </c>
      <c r="E95" s="1346">
        <v>1.1399999999999999</v>
      </c>
      <c r="F95" s="1329">
        <v>1.0183329999999999</v>
      </c>
      <c r="G95" s="1347">
        <v>0.72</v>
      </c>
      <c r="H95" s="1348">
        <v>0.21299999999999999</v>
      </c>
      <c r="I95" s="1349">
        <v>0.11849999999999999</v>
      </c>
      <c r="J95" s="1350">
        <v>5.7000000000000002E-2</v>
      </c>
      <c r="K95" s="1351">
        <v>3.4500000000000003E-2</v>
      </c>
      <c r="L95" s="1352">
        <v>3.5999999999999997E-2</v>
      </c>
      <c r="M95" s="1305">
        <v>9</v>
      </c>
      <c r="N95" s="1195">
        <v>20.246449999999999</v>
      </c>
    </row>
    <row r="96" spans="1:14" ht="14" customHeight="1" x14ac:dyDescent="0.15">
      <c r="A96" s="13"/>
      <c r="B96" s="1326">
        <v>9.1</v>
      </c>
      <c r="C96" s="1324">
        <v>15.46</v>
      </c>
      <c r="D96" s="1327">
        <v>1.9716670000000001</v>
      </c>
      <c r="E96" s="1328">
        <v>1.1526670000000001</v>
      </c>
      <c r="F96" s="1329">
        <v>1.019833</v>
      </c>
      <c r="G96" s="1330">
        <v>0.72799999999999998</v>
      </c>
      <c r="H96" s="1331">
        <v>0.215367</v>
      </c>
      <c r="I96" s="1332">
        <v>0.11981700000000001</v>
      </c>
      <c r="J96" s="1333">
        <v>5.7632999999999997E-2</v>
      </c>
      <c r="K96" s="1334">
        <v>3.4882999999999997E-2</v>
      </c>
      <c r="L96" s="1335">
        <v>3.6400000000000002E-2</v>
      </c>
      <c r="M96" s="1326">
        <v>9.1</v>
      </c>
      <c r="N96" s="1195">
        <v>20.329737999999999</v>
      </c>
    </row>
    <row r="97" spans="1:14" ht="14" customHeight="1" x14ac:dyDescent="0.15">
      <c r="A97" s="13"/>
      <c r="B97" s="1326">
        <v>9.1999999999999993</v>
      </c>
      <c r="C97" s="1324">
        <v>15.52</v>
      </c>
      <c r="D97" s="1327">
        <v>1.993333</v>
      </c>
      <c r="E97" s="1328">
        <v>1.165333</v>
      </c>
      <c r="F97" s="1329">
        <v>1.021333</v>
      </c>
      <c r="G97" s="1330">
        <v>0.73599999999999999</v>
      </c>
      <c r="H97" s="1331">
        <v>0.21773300000000001</v>
      </c>
      <c r="I97" s="1332">
        <v>0.121133</v>
      </c>
      <c r="J97" s="1333">
        <v>5.8266999999999999E-2</v>
      </c>
      <c r="K97" s="1334">
        <v>3.5267E-2</v>
      </c>
      <c r="L97" s="1335">
        <v>3.6799999999999999E-2</v>
      </c>
      <c r="M97" s="1326">
        <v>9.1999999999999993</v>
      </c>
      <c r="N97" s="1195">
        <v>20.413027</v>
      </c>
    </row>
    <row r="98" spans="1:14" ht="14" customHeight="1" x14ac:dyDescent="0.15">
      <c r="A98" s="13"/>
      <c r="B98" s="1326">
        <v>9.3000000000000007</v>
      </c>
      <c r="C98" s="1324">
        <v>15.58</v>
      </c>
      <c r="D98" s="1327">
        <v>2.0150000000000001</v>
      </c>
      <c r="E98" s="1328">
        <v>1.1779999999999999</v>
      </c>
      <c r="F98" s="1329">
        <v>1.0228330000000001</v>
      </c>
      <c r="G98" s="1330">
        <v>0.74399999999999999</v>
      </c>
      <c r="H98" s="1331">
        <v>0.22009999999999999</v>
      </c>
      <c r="I98" s="1332">
        <v>0.12245</v>
      </c>
      <c r="J98" s="1333">
        <v>5.8900000000000001E-2</v>
      </c>
      <c r="K98" s="1334">
        <v>3.5650000000000001E-2</v>
      </c>
      <c r="L98" s="1335">
        <v>3.7199999999999997E-2</v>
      </c>
      <c r="M98" s="1326">
        <v>9.3000000000000007</v>
      </c>
      <c r="N98" s="1195">
        <v>20.496314999999999</v>
      </c>
    </row>
    <row r="99" spans="1:14" ht="14" customHeight="1" x14ac:dyDescent="0.15">
      <c r="A99" s="13"/>
      <c r="B99" s="1326">
        <v>9.4</v>
      </c>
      <c r="C99" s="1324">
        <v>15.64</v>
      </c>
      <c r="D99" s="1327">
        <v>2.036667</v>
      </c>
      <c r="E99" s="1328">
        <v>1.1906669999999999</v>
      </c>
      <c r="F99" s="1329">
        <v>1.0243329999999999</v>
      </c>
      <c r="G99" s="1330">
        <v>0.752</v>
      </c>
      <c r="H99" s="1331">
        <v>0.222467</v>
      </c>
      <c r="I99" s="1332">
        <v>0.123767</v>
      </c>
      <c r="J99" s="1333">
        <v>5.9533000000000003E-2</v>
      </c>
      <c r="K99" s="1334">
        <v>3.6033000000000003E-2</v>
      </c>
      <c r="L99" s="1335">
        <v>3.7600000000000001E-2</v>
      </c>
      <c r="M99" s="1326">
        <v>9.4</v>
      </c>
      <c r="N99" s="1195">
        <v>20.579602999999999</v>
      </c>
    </row>
    <row r="100" spans="1:14" ht="14" customHeight="1" x14ac:dyDescent="0.15">
      <c r="A100" s="13"/>
      <c r="B100" s="1326">
        <v>9.5</v>
      </c>
      <c r="C100" s="1324">
        <v>15.7</v>
      </c>
      <c r="D100" s="1327">
        <v>2.0583330000000002</v>
      </c>
      <c r="E100" s="1328">
        <v>1.203333</v>
      </c>
      <c r="F100" s="1329">
        <v>1.025833</v>
      </c>
      <c r="G100" s="1330">
        <v>0.76</v>
      </c>
      <c r="H100" s="1331">
        <v>0.22483300000000001</v>
      </c>
      <c r="I100" s="1332">
        <v>0.125083</v>
      </c>
      <c r="J100" s="1333">
        <v>6.0166999999999998E-2</v>
      </c>
      <c r="K100" s="1334">
        <v>3.6416999999999998E-2</v>
      </c>
      <c r="L100" s="1335">
        <v>3.7999999999999999E-2</v>
      </c>
      <c r="M100" s="1326">
        <v>9.5</v>
      </c>
      <c r="N100" s="1195">
        <v>20.662891999999999</v>
      </c>
    </row>
    <row r="101" spans="1:14" ht="14" customHeight="1" x14ac:dyDescent="0.15">
      <c r="A101" s="13"/>
      <c r="B101" s="1326">
        <v>9.6</v>
      </c>
      <c r="C101" s="1324">
        <v>15.76</v>
      </c>
      <c r="D101" s="1327">
        <v>2.08</v>
      </c>
      <c r="E101" s="1328">
        <v>1.216</v>
      </c>
      <c r="F101" s="1329">
        <v>1.0273330000000001</v>
      </c>
      <c r="G101" s="1330">
        <v>0.76800000000000002</v>
      </c>
      <c r="H101" s="1331">
        <v>0.22720000000000001</v>
      </c>
      <c r="I101" s="1332">
        <v>0.12640000000000001</v>
      </c>
      <c r="J101" s="1333">
        <v>6.08E-2</v>
      </c>
      <c r="K101" s="1334">
        <v>3.6799999999999999E-2</v>
      </c>
      <c r="L101" s="1335">
        <v>3.8399999999999997E-2</v>
      </c>
      <c r="M101" s="1326">
        <v>9.6</v>
      </c>
      <c r="N101" s="1195">
        <v>20.746179999999999</v>
      </c>
    </row>
    <row r="102" spans="1:14" ht="14" customHeight="1" x14ac:dyDescent="0.15">
      <c r="A102" s="13"/>
      <c r="B102" s="1326">
        <v>9.6999999999999993</v>
      </c>
      <c r="C102" s="1324">
        <v>15.82</v>
      </c>
      <c r="D102" s="1327">
        <v>2.101667</v>
      </c>
      <c r="E102" s="1328">
        <v>1.228667</v>
      </c>
      <c r="F102" s="1329">
        <v>1.0288330000000001</v>
      </c>
      <c r="G102" s="1330">
        <v>0.77600000000000002</v>
      </c>
      <c r="H102" s="1331">
        <v>0.22956699999999999</v>
      </c>
      <c r="I102" s="1332">
        <v>0.127717</v>
      </c>
      <c r="J102" s="1333">
        <v>6.1433000000000001E-2</v>
      </c>
      <c r="K102" s="1334">
        <v>3.7183000000000001E-2</v>
      </c>
      <c r="L102" s="1335">
        <v>3.8800000000000001E-2</v>
      </c>
      <c r="M102" s="1326">
        <v>9.6999999999999993</v>
      </c>
      <c r="N102" s="1195">
        <v>20.829467999999999</v>
      </c>
    </row>
    <row r="103" spans="1:14" ht="14" customHeight="1" x14ac:dyDescent="0.15">
      <c r="A103" s="13"/>
      <c r="B103" s="1326">
        <v>9.8000000000000007</v>
      </c>
      <c r="C103" s="1324">
        <v>15.88</v>
      </c>
      <c r="D103" s="1327">
        <v>2.1233330000000001</v>
      </c>
      <c r="E103" s="1328">
        <v>1.241333</v>
      </c>
      <c r="F103" s="1329">
        <v>1.0303329999999999</v>
      </c>
      <c r="G103" s="1330">
        <v>0.78400000000000003</v>
      </c>
      <c r="H103" s="1331">
        <v>0.231933</v>
      </c>
      <c r="I103" s="1332">
        <v>0.12903300000000001</v>
      </c>
      <c r="J103" s="1333">
        <v>6.2066999999999997E-2</v>
      </c>
      <c r="K103" s="1334">
        <v>3.7567000000000003E-2</v>
      </c>
      <c r="L103" s="1335">
        <v>3.9199999999999999E-2</v>
      </c>
      <c r="M103" s="1326">
        <v>9.8000000000000007</v>
      </c>
      <c r="N103" s="1195">
        <v>20.912756999999999</v>
      </c>
    </row>
    <row r="104" spans="1:14" ht="14" customHeight="1" x14ac:dyDescent="0.15">
      <c r="A104" s="13"/>
      <c r="B104" s="1326">
        <v>9.9</v>
      </c>
      <c r="C104" s="1324">
        <v>15.94</v>
      </c>
      <c r="D104" s="1327">
        <v>2.145</v>
      </c>
      <c r="E104" s="1328">
        <v>1.254</v>
      </c>
      <c r="F104" s="1329">
        <v>1.031833</v>
      </c>
      <c r="G104" s="1330">
        <v>0.79200000000000004</v>
      </c>
      <c r="H104" s="1331">
        <v>0.23430000000000001</v>
      </c>
      <c r="I104" s="1332">
        <v>0.13034999999999999</v>
      </c>
      <c r="J104" s="1333">
        <v>6.2700000000000006E-2</v>
      </c>
      <c r="K104" s="1334">
        <v>3.7949999999999998E-2</v>
      </c>
      <c r="L104" s="1335">
        <v>3.9600000000000003E-2</v>
      </c>
      <c r="M104" s="1326">
        <v>9.9</v>
      </c>
      <c r="N104" s="1195">
        <v>20.996044999999999</v>
      </c>
    </row>
    <row r="105" spans="1:14" ht="14" customHeight="1" x14ac:dyDescent="0.15">
      <c r="A105" s="13"/>
      <c r="B105" s="1305">
        <v>10</v>
      </c>
      <c r="C105" s="1324">
        <v>16</v>
      </c>
      <c r="D105" s="1345">
        <v>2.1666669999999999</v>
      </c>
      <c r="E105" s="1346">
        <v>1.266667</v>
      </c>
      <c r="F105" s="1329">
        <v>1.0333330000000001</v>
      </c>
      <c r="G105" s="1347">
        <v>0.8</v>
      </c>
      <c r="H105" s="1348">
        <v>0.23666699999999999</v>
      </c>
      <c r="I105" s="1349">
        <v>0.13166700000000001</v>
      </c>
      <c r="J105" s="1350">
        <v>6.3333E-2</v>
      </c>
      <c r="K105" s="1351">
        <v>3.8332999999999999E-2</v>
      </c>
      <c r="L105" s="1352">
        <v>0.04</v>
      </c>
      <c r="M105" s="1305">
        <v>10</v>
      </c>
      <c r="N105" s="1195">
        <v>21.079332999999998</v>
      </c>
    </row>
    <row r="106" spans="1:14" ht="13.75" customHeight="1" x14ac:dyDescent="0.15">
      <c r="A106" s="13"/>
      <c r="B106" s="40"/>
      <c r="C106" s="1316"/>
      <c r="D106" s="1317"/>
      <c r="E106" s="1318"/>
      <c r="F106" s="14"/>
      <c r="G106" s="1319"/>
      <c r="H106" s="1320"/>
      <c r="I106" s="1321"/>
      <c r="J106" s="14"/>
      <c r="K106" s="1322"/>
      <c r="L106" s="1323"/>
      <c r="M106" s="40"/>
      <c r="N106" s="8"/>
    </row>
    <row r="107" spans="1:14" ht="33" customHeight="1" x14ac:dyDescent="0.15">
      <c r="A107" s="108"/>
      <c r="B107" s="109"/>
      <c r="C107" s="1353" t="s">
        <v>9</v>
      </c>
      <c r="D107" s="1141" t="s">
        <v>10</v>
      </c>
      <c r="E107" s="1142" t="s">
        <v>11</v>
      </c>
      <c r="F107" s="1256" t="s">
        <v>23</v>
      </c>
      <c r="G107" s="1144" t="s">
        <v>13</v>
      </c>
      <c r="H107" s="1145" t="s">
        <v>14</v>
      </c>
      <c r="I107" s="1146" t="s">
        <v>15</v>
      </c>
      <c r="J107" s="1147" t="s">
        <v>16</v>
      </c>
      <c r="K107" s="1148" t="s">
        <v>17</v>
      </c>
      <c r="L107" s="1354" t="s">
        <v>18</v>
      </c>
      <c r="M107" s="109"/>
      <c r="N107" s="25"/>
    </row>
  </sheetData>
  <pageMargins left="0.74791700000000005" right="0.74791700000000005" top="0.98402800000000001" bottom="0.98402800000000001" header="0.49236099999999999" footer="0.49236099999999999"/>
  <pageSetup orientation="portrait"/>
  <headerFooter>
    <oddHeader>&amp;C&amp;"Arial,Regular"&amp;10&amp;K000000PQG</oddHeader>
    <oddFooter>&amp;C&amp;"Arial,Regular"&amp;10&amp;K000000Page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showGridLines="0" topLeftCell="B1" zoomScale="130" zoomScaleNormal="130" workbookViewId="0">
      <selection activeCell="J13" sqref="J13"/>
    </sheetView>
  </sheetViews>
  <sheetFormatPr baseColWidth="10" defaultColWidth="8.83203125" defaultRowHeight="13" customHeight="1" x14ac:dyDescent="0.15"/>
  <cols>
    <col min="1" max="1" width="3" style="26" customWidth="1"/>
    <col min="2" max="2" width="4.6640625" style="26" customWidth="1"/>
    <col min="3" max="12" width="10.83203125" style="26" customWidth="1"/>
    <col min="13" max="13" width="7.5" style="26" customWidth="1"/>
    <col min="14" max="14" width="3.1640625" style="26" customWidth="1"/>
    <col min="15" max="25" width="10.83203125" style="26" customWidth="1"/>
    <col min="26" max="26" width="7.5" style="26" customWidth="1"/>
    <col min="27" max="27" width="15.83203125" style="26" customWidth="1"/>
    <col min="28" max="256" width="8.83203125" customWidth="1"/>
  </cols>
  <sheetData>
    <row r="1" spans="1:27" ht="17.75" customHeight="1" x14ac:dyDescent="0.15">
      <c r="A1" s="14"/>
      <c r="B1" s="2792" t="s">
        <v>35</v>
      </c>
      <c r="C1" s="2793"/>
      <c r="D1" s="2793"/>
      <c r="E1" s="2793"/>
      <c r="F1" s="2793"/>
      <c r="G1" s="2793"/>
      <c r="H1" s="2793"/>
      <c r="I1" s="2793"/>
      <c r="J1" s="2793"/>
      <c r="K1" s="2793"/>
      <c r="L1" s="2793"/>
      <c r="M1" s="2793"/>
      <c r="N1" s="40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40"/>
    </row>
    <row r="2" spans="1:27" ht="35" customHeight="1" x14ac:dyDescent="0.15">
      <c r="A2" s="14"/>
      <c r="B2" s="29" t="s">
        <v>36</v>
      </c>
      <c r="C2" s="30" t="s">
        <v>9</v>
      </c>
      <c r="D2" s="31" t="s">
        <v>10</v>
      </c>
      <c r="E2" s="32" t="s">
        <v>11</v>
      </c>
      <c r="F2" s="33" t="s">
        <v>37</v>
      </c>
      <c r="G2" s="34" t="s">
        <v>13</v>
      </c>
      <c r="H2" s="35" t="s">
        <v>14</v>
      </c>
      <c r="I2" s="36" t="s">
        <v>15</v>
      </c>
      <c r="J2" s="37" t="s">
        <v>16</v>
      </c>
      <c r="K2" s="38" t="s">
        <v>17</v>
      </c>
      <c r="L2" s="39" t="s">
        <v>18</v>
      </c>
      <c r="M2" s="23"/>
      <c r="N2" s="40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40"/>
    </row>
    <row r="3" spans="1:27" ht="23" customHeight="1" x14ac:dyDescent="0.15">
      <c r="A3" s="14"/>
      <c r="B3" s="42" t="s">
        <v>38</v>
      </c>
      <c r="C3" s="43">
        <f>Données!D4</f>
        <v>44.132012255520998</v>
      </c>
      <c r="D3" s="44">
        <f>Données!D5</f>
        <v>45.222900847436001</v>
      </c>
      <c r="E3" s="45">
        <f>Données!D6</f>
        <v>182.36958601907</v>
      </c>
      <c r="F3" s="46">
        <f>Données!D7</f>
        <v>43.987967215048002</v>
      </c>
      <c r="G3" s="47">
        <f>Données!D8</f>
        <v>247.129213218118</v>
      </c>
      <c r="H3" s="48">
        <f>Données!D9</f>
        <v>206.49768576544</v>
      </c>
      <c r="I3" s="49">
        <f>Données!D10</f>
        <v>329.43531622964798</v>
      </c>
      <c r="J3" s="50">
        <f>Données!D11</f>
        <v>291.52005775489101</v>
      </c>
      <c r="K3" s="51">
        <f>Données!D12</f>
        <v>290.46249743958299</v>
      </c>
      <c r="L3" s="52">
        <f>Données!D13</f>
        <v>235.355048158447</v>
      </c>
      <c r="M3" s="29" t="s">
        <v>39</v>
      </c>
      <c r="N3" s="40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40"/>
    </row>
    <row r="4" spans="1:27" ht="23" customHeight="1" x14ac:dyDescent="0.15">
      <c r="A4" s="14"/>
      <c r="B4" s="42" t="s">
        <v>40</v>
      </c>
      <c r="C4" s="53">
        <f>Données!D17</f>
        <v>122.94643170489201</v>
      </c>
      <c r="D4" s="44">
        <f>Données!D18</f>
        <v>223.410727433494</v>
      </c>
      <c r="E4" s="45">
        <f>Données!D19</f>
        <v>206.639048765078</v>
      </c>
      <c r="F4" s="54">
        <f>Données!D20</f>
        <v>223.987967215048</v>
      </c>
      <c r="G4" s="47">
        <f>Données!D21</f>
        <v>237.981466910791</v>
      </c>
      <c r="H4" s="48">
        <f>Données!D22</f>
        <v>209.16530536449901</v>
      </c>
      <c r="I4" s="49">
        <f>Données!D23</f>
        <v>323.70800388830497</v>
      </c>
      <c r="J4" s="50">
        <f>Données!D24</f>
        <v>288.89830673712299</v>
      </c>
      <c r="K4" s="51">
        <f>Données!D25</f>
        <v>288.76008787393403</v>
      </c>
      <c r="L4" s="52">
        <f>Données!D26</f>
        <v>234.97975508459601</v>
      </c>
      <c r="M4" s="29" t="s">
        <v>41</v>
      </c>
      <c r="N4" s="40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40"/>
    </row>
    <row r="5" spans="1:27" ht="23" customHeight="1" x14ac:dyDescent="0.15">
      <c r="A5" s="14"/>
      <c r="B5" s="42" t="s">
        <v>42</v>
      </c>
      <c r="C5" s="53">
        <f>Données!D30</f>
        <v>124.15394086050701</v>
      </c>
      <c r="D5" s="44">
        <f>Données!D31</f>
        <v>220.90169783992599</v>
      </c>
      <c r="E5" s="45">
        <f>Données!D32</f>
        <v>205.249991707406</v>
      </c>
      <c r="F5" s="54">
        <f>Données!D33</f>
        <v>221.529107747659</v>
      </c>
      <c r="G5" s="47">
        <f>Données!D34</f>
        <v>235.64110770157399</v>
      </c>
      <c r="H5" s="48">
        <f>Données!D35</f>
        <v>207.49798797942</v>
      </c>
      <c r="I5" s="49">
        <f>Données!D36</f>
        <v>326.53805185857601</v>
      </c>
      <c r="J5" s="50">
        <f>Données!D37</f>
        <v>290.53160275671002</v>
      </c>
      <c r="K5" s="51">
        <f>Données!D38</f>
        <v>290.22043810257202</v>
      </c>
      <c r="L5" s="52">
        <f>Données!D39</f>
        <v>235.92578460033701</v>
      </c>
      <c r="M5" s="29" t="s">
        <v>43</v>
      </c>
      <c r="N5" s="40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40"/>
    </row>
    <row r="6" spans="1:27" ht="23" customHeight="1" x14ac:dyDescent="0.15">
      <c r="A6" s="14"/>
      <c r="B6" s="42" t="s">
        <v>44</v>
      </c>
      <c r="C6" s="43">
        <f>Données!C43</f>
        <v>276.79899999999998</v>
      </c>
      <c r="D6" s="44">
        <f>Données!C44</f>
        <v>33.526000000000003</v>
      </c>
      <c r="E6" s="45">
        <f>Données!C45</f>
        <v>19.712</v>
      </c>
      <c r="F6" s="54">
        <f>Données!C46</f>
        <v>34.110999999999997</v>
      </c>
      <c r="G6" s="47">
        <f>Données!C47</f>
        <v>44.499000000000002</v>
      </c>
      <c r="H6" s="48">
        <f>Données!C48</f>
        <v>21.896000000000001</v>
      </c>
      <c r="I6" s="49">
        <f>Données!C49</f>
        <v>115.929</v>
      </c>
      <c r="J6" s="50">
        <f>Données!C50</f>
        <v>81.042000000000002</v>
      </c>
      <c r="K6" s="51">
        <f>Données!C51</f>
        <v>81.718000000000004</v>
      </c>
      <c r="L6" s="52">
        <f>Données!C52</f>
        <v>53.091999999999999</v>
      </c>
      <c r="M6" s="29" t="s">
        <v>45</v>
      </c>
      <c r="N6" s="40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40"/>
    </row>
    <row r="7" spans="1:27" ht="18" hidden="1" customHeight="1" x14ac:dyDescent="0.15">
      <c r="A7" s="14"/>
      <c r="B7" s="55"/>
      <c r="C7" s="56">
        <f t="shared" ref="C7:L7" si="0">SUM(C3:C6)/4</f>
        <v>142.00784620523001</v>
      </c>
      <c r="D7" s="57">
        <f t="shared" si="0"/>
        <v>130.76533153021398</v>
      </c>
      <c r="E7" s="58">
        <f t="shared" si="0"/>
        <v>153.49265662288849</v>
      </c>
      <c r="F7" s="59">
        <f t="shared" si="0"/>
        <v>130.90401054443876</v>
      </c>
      <c r="G7" s="60">
        <f t="shared" si="0"/>
        <v>191.31269695762074</v>
      </c>
      <c r="H7" s="61">
        <f t="shared" si="0"/>
        <v>161.26424477733974</v>
      </c>
      <c r="I7" s="62">
        <f t="shared" si="0"/>
        <v>273.90259299413225</v>
      </c>
      <c r="J7" s="63">
        <f t="shared" si="0"/>
        <v>237.99799181218103</v>
      </c>
      <c r="K7" s="64">
        <f t="shared" si="0"/>
        <v>237.79025585402226</v>
      </c>
      <c r="L7" s="65">
        <f t="shared" si="0"/>
        <v>189.83814696084499</v>
      </c>
      <c r="M7" s="66" t="s">
        <v>46</v>
      </c>
      <c r="N7" s="40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40"/>
    </row>
    <row r="8" spans="1:27" ht="10" customHeight="1" x14ac:dyDescent="0.15">
      <c r="A8" s="14"/>
      <c r="B8" s="67"/>
      <c r="C8" s="67"/>
      <c r="D8" s="68"/>
      <c r="E8" s="69"/>
      <c r="F8" s="70"/>
      <c r="G8" s="71"/>
      <c r="H8" s="72"/>
      <c r="I8" s="73"/>
      <c r="J8" s="74"/>
      <c r="K8" s="75"/>
      <c r="L8" s="67"/>
      <c r="M8" s="76"/>
      <c r="N8" s="40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40"/>
    </row>
    <row r="9" spans="1:27" ht="18" customHeight="1" x14ac:dyDescent="0.15">
      <c r="A9" s="14"/>
      <c r="B9" s="67"/>
      <c r="C9" s="2806" t="s">
        <v>9</v>
      </c>
      <c r="D9" s="77">
        <f>D3-C3</f>
        <v>1.0908885919150038</v>
      </c>
      <c r="E9" s="78">
        <f>E3-C3</f>
        <v>138.23757376354899</v>
      </c>
      <c r="F9" s="1989">
        <f>C3-F3</f>
        <v>0.14404504047299582</v>
      </c>
      <c r="G9" s="80">
        <f>C3+360-G3</f>
        <v>157.00279903740298</v>
      </c>
      <c r="H9" s="81">
        <f>H3-C3</f>
        <v>162.36567350991899</v>
      </c>
      <c r="I9" s="82">
        <f>C3+360-I3</f>
        <v>74.696696025872996</v>
      </c>
      <c r="J9" s="83">
        <f>C3+360-J3</f>
        <v>112.61195450062996</v>
      </c>
      <c r="K9" s="84">
        <f>C3+360-K3</f>
        <v>113.66951481593799</v>
      </c>
      <c r="L9" s="85">
        <f>L3-C3</f>
        <v>191.223035902926</v>
      </c>
      <c r="M9" s="86" t="s">
        <v>39</v>
      </c>
      <c r="N9" s="40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40"/>
    </row>
    <row r="10" spans="1:27" ht="18" customHeight="1" x14ac:dyDescent="0.15">
      <c r="A10" s="14"/>
      <c r="B10" s="67"/>
      <c r="C10" s="2807"/>
      <c r="D10" s="77">
        <f>D4-C4</f>
        <v>100.464295728602</v>
      </c>
      <c r="E10" s="78">
        <f>E4-C4</f>
        <v>83.692617060185995</v>
      </c>
      <c r="F10" s="79">
        <f>F4-C4</f>
        <v>101.041535510156</v>
      </c>
      <c r="G10" s="80">
        <f>G4-C4</f>
        <v>115.03503520589899</v>
      </c>
      <c r="H10" s="81">
        <f>H4-C4</f>
        <v>86.218873659606999</v>
      </c>
      <c r="I10" s="82">
        <f>C4+360-I4</f>
        <v>159.23842781658703</v>
      </c>
      <c r="J10" s="83">
        <f>J4-C4</f>
        <v>165.95187503223099</v>
      </c>
      <c r="K10" s="84">
        <f>K4-C4</f>
        <v>165.81365616904202</v>
      </c>
      <c r="L10" s="85">
        <f>L4-C4</f>
        <v>112.033323379704</v>
      </c>
      <c r="M10" s="86" t="s">
        <v>41</v>
      </c>
      <c r="N10" s="40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40"/>
    </row>
    <row r="11" spans="1:27" ht="18" customHeight="1" x14ac:dyDescent="0.15">
      <c r="A11" s="14"/>
      <c r="B11" s="67"/>
      <c r="C11" s="2807"/>
      <c r="D11" s="77">
        <f>D5-C5</f>
        <v>96.74775697941898</v>
      </c>
      <c r="E11" s="78">
        <f>E5-C5</f>
        <v>81.09605084689899</v>
      </c>
      <c r="F11" s="79">
        <f>F5-C5</f>
        <v>97.375166887151991</v>
      </c>
      <c r="G11" s="80">
        <f>G5-C5</f>
        <v>111.48716684106698</v>
      </c>
      <c r="H11" s="81">
        <f>H5-C5</f>
        <v>83.344047118912997</v>
      </c>
      <c r="I11" s="82">
        <f>C5+360-I5</f>
        <v>157.61588900193101</v>
      </c>
      <c r="J11" s="83">
        <f>J5-C5</f>
        <v>166.37766189620299</v>
      </c>
      <c r="K11" s="84">
        <f>K5-C5</f>
        <v>166.066497242065</v>
      </c>
      <c r="L11" s="85">
        <f>L5-C5</f>
        <v>111.77184373983</v>
      </c>
      <c r="M11" s="86" t="s">
        <v>43</v>
      </c>
      <c r="N11" s="40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40"/>
    </row>
    <row r="12" spans="1:27" ht="18" customHeight="1" x14ac:dyDescent="0.15">
      <c r="A12" s="14"/>
      <c r="B12" s="67"/>
      <c r="C12" s="2807"/>
      <c r="D12" s="77">
        <f>D6+360-C6</f>
        <v>116.72700000000003</v>
      </c>
      <c r="E12" s="78">
        <f>E6+360-C6</f>
        <v>102.91300000000001</v>
      </c>
      <c r="F12" s="79">
        <f>F6+360-C6</f>
        <v>117.31200000000001</v>
      </c>
      <c r="G12" s="80">
        <f>G6+360-C6</f>
        <v>127.70000000000005</v>
      </c>
      <c r="H12" s="81">
        <f>H6+360-C6</f>
        <v>105.09700000000004</v>
      </c>
      <c r="I12" s="82">
        <f>C6-I6</f>
        <v>160.86999999999998</v>
      </c>
      <c r="J12" s="83">
        <f>C6-J6</f>
        <v>195.75699999999998</v>
      </c>
      <c r="K12" s="84">
        <f>C6-K6</f>
        <v>195.08099999999996</v>
      </c>
      <c r="L12" s="85">
        <f>L6+360-C6</f>
        <v>136.29300000000001</v>
      </c>
      <c r="M12" s="86" t="s">
        <v>45</v>
      </c>
      <c r="N12" s="40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40"/>
    </row>
    <row r="13" spans="1:27" ht="10" customHeight="1" x14ac:dyDescent="0.15">
      <c r="A13" s="14"/>
      <c r="B13" s="67"/>
      <c r="C13" s="67"/>
      <c r="D13" s="88"/>
      <c r="E13" s="89"/>
      <c r="F13" s="90"/>
      <c r="G13" s="91"/>
      <c r="H13" s="92"/>
      <c r="I13" s="93"/>
      <c r="J13" s="50"/>
      <c r="K13" s="94"/>
      <c r="L13" s="95"/>
      <c r="M13" s="96"/>
      <c r="N13" s="40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40"/>
    </row>
    <row r="14" spans="1:27" ht="18" customHeight="1" x14ac:dyDescent="0.15">
      <c r="A14" s="14"/>
      <c r="B14" s="67"/>
      <c r="C14" s="67"/>
      <c r="D14" s="2804" t="s">
        <v>10</v>
      </c>
      <c r="E14" s="78">
        <f>E3-D3</f>
        <v>137.146685171634</v>
      </c>
      <c r="F14" s="79">
        <f>D3-F3</f>
        <v>1.2349336323879996</v>
      </c>
      <c r="G14" s="80">
        <f>D3+360-G3</f>
        <v>158.093687629318</v>
      </c>
      <c r="H14" s="81">
        <f>D3+360-H3</f>
        <v>198.725215081996</v>
      </c>
      <c r="I14" s="82">
        <f>D3+360-I3</f>
        <v>75.787584617788013</v>
      </c>
      <c r="J14" s="83">
        <f>D3+360-J3</f>
        <v>113.70284309254498</v>
      </c>
      <c r="K14" s="84">
        <f>D3+360-K3</f>
        <v>114.760403407853</v>
      </c>
      <c r="L14" s="85">
        <f>L3-D3</f>
        <v>190.13214731101101</v>
      </c>
      <c r="M14" s="86" t="s">
        <v>39</v>
      </c>
      <c r="N14" s="40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40"/>
    </row>
    <row r="15" spans="1:27" ht="18" customHeight="1" x14ac:dyDescent="0.15">
      <c r="A15" s="14"/>
      <c r="B15" s="67"/>
      <c r="C15" s="67"/>
      <c r="D15" s="2805"/>
      <c r="E15" s="78">
        <f>D4-E4</f>
        <v>16.771678668416001</v>
      </c>
      <c r="F15" s="79">
        <f>F4-D4</f>
        <v>0.57723978155399891</v>
      </c>
      <c r="G15" s="80">
        <f>G4-D4</f>
        <v>14.570739477296996</v>
      </c>
      <c r="H15" s="81">
        <f>D4-H4</f>
        <v>14.245422068994998</v>
      </c>
      <c r="I15" s="82">
        <f>I4-D4</f>
        <v>100.29727645481097</v>
      </c>
      <c r="J15" s="83">
        <f>J4-D4</f>
        <v>65.487579303628991</v>
      </c>
      <c r="K15" s="84">
        <f>K4-D4</f>
        <v>65.349360440440023</v>
      </c>
      <c r="L15" s="85">
        <f>L4-D4</f>
        <v>11.569027651102004</v>
      </c>
      <c r="M15" s="86" t="s">
        <v>41</v>
      </c>
      <c r="N15" s="40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40"/>
    </row>
    <row r="16" spans="1:27" ht="18" customHeight="1" x14ac:dyDescent="0.15">
      <c r="A16" s="14"/>
      <c r="B16" s="67"/>
      <c r="C16" s="67"/>
      <c r="D16" s="2805"/>
      <c r="E16" s="78">
        <f>D5-E5</f>
        <v>15.65170613251999</v>
      </c>
      <c r="F16" s="79">
        <f>F5-D5</f>
        <v>0.62740990773301064</v>
      </c>
      <c r="G16" s="80">
        <f>G5-D5</f>
        <v>14.739409861647999</v>
      </c>
      <c r="H16" s="81">
        <f>D5-H5</f>
        <v>13.403709860505984</v>
      </c>
      <c r="I16" s="82">
        <f>I5-D5</f>
        <v>105.63635401865002</v>
      </c>
      <c r="J16" s="83">
        <f>J5-D5</f>
        <v>69.629904916784028</v>
      </c>
      <c r="K16" s="84">
        <f>K5-D5</f>
        <v>69.318740262646031</v>
      </c>
      <c r="L16" s="85">
        <f>L5-D5</f>
        <v>15.024086760411024</v>
      </c>
      <c r="M16" s="86" t="s">
        <v>43</v>
      </c>
      <c r="N16" s="40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40"/>
    </row>
    <row r="17" spans="1:27" ht="18" customHeight="1" x14ac:dyDescent="0.15">
      <c r="A17" s="14"/>
      <c r="B17" s="67"/>
      <c r="C17" s="67"/>
      <c r="D17" s="2805"/>
      <c r="E17" s="78">
        <f>D6-E6</f>
        <v>13.814000000000004</v>
      </c>
      <c r="F17" s="79">
        <f>F6-D6</f>
        <v>0.58499999999999375</v>
      </c>
      <c r="G17" s="80">
        <f>G6-D6</f>
        <v>10.972999999999999</v>
      </c>
      <c r="H17" s="81">
        <f>D6-H6</f>
        <v>11.630000000000003</v>
      </c>
      <c r="I17" s="82">
        <f>I6-D6</f>
        <v>82.402999999999992</v>
      </c>
      <c r="J17" s="83">
        <f>J6-D6</f>
        <v>47.515999999999998</v>
      </c>
      <c r="K17" s="84">
        <f>K6-D6</f>
        <v>48.192</v>
      </c>
      <c r="L17" s="85">
        <f>L6-D6</f>
        <v>19.565999999999995</v>
      </c>
      <c r="M17" s="86" t="s">
        <v>45</v>
      </c>
      <c r="N17" s="40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40"/>
    </row>
    <row r="18" spans="1:27" ht="10" customHeight="1" x14ac:dyDescent="0.15">
      <c r="A18" s="14"/>
      <c r="B18" s="67"/>
      <c r="C18" s="67"/>
      <c r="D18" s="98"/>
      <c r="E18" s="98"/>
      <c r="F18" s="90"/>
      <c r="G18" s="91"/>
      <c r="H18" s="92"/>
      <c r="I18" s="93"/>
      <c r="J18" s="50"/>
      <c r="K18" s="94"/>
      <c r="L18" s="95"/>
      <c r="M18" s="96"/>
      <c r="N18" s="40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40"/>
    </row>
    <row r="19" spans="1:27" ht="18" customHeight="1" x14ac:dyDescent="0.15">
      <c r="A19" s="14"/>
      <c r="B19" s="67"/>
      <c r="C19" s="67"/>
      <c r="D19" s="98"/>
      <c r="E19" s="2802" t="s">
        <v>11</v>
      </c>
      <c r="F19" s="79">
        <f>E3-F3</f>
        <v>138.381618804022</v>
      </c>
      <c r="G19" s="80">
        <f>G3-E3</f>
        <v>64.759627199047998</v>
      </c>
      <c r="H19" s="81">
        <f>H3-E3</f>
        <v>24.128099746369998</v>
      </c>
      <c r="I19" s="82">
        <f>I3-E3</f>
        <v>147.06573021057798</v>
      </c>
      <c r="J19" s="83">
        <f>J3-E3</f>
        <v>109.15047173582101</v>
      </c>
      <c r="K19" s="84">
        <f>K3-E3</f>
        <v>108.09291142051299</v>
      </c>
      <c r="L19" s="85">
        <f>L3-E3</f>
        <v>52.985462139377006</v>
      </c>
      <c r="M19" s="86" t="s">
        <v>39</v>
      </c>
      <c r="N19" s="40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40"/>
    </row>
    <row r="20" spans="1:27" ht="18" customHeight="1" x14ac:dyDescent="0.15">
      <c r="A20" s="14"/>
      <c r="B20" s="67"/>
      <c r="C20" s="67"/>
      <c r="D20" s="98"/>
      <c r="E20" s="2803"/>
      <c r="F20" s="79">
        <f>F4-E4</f>
        <v>17.34891844997</v>
      </c>
      <c r="G20" s="80">
        <f>G4-E4</f>
        <v>31.342418145712998</v>
      </c>
      <c r="H20" s="81">
        <f>H4-E4</f>
        <v>2.5262565994210036</v>
      </c>
      <c r="I20" s="82">
        <f>I4-E4</f>
        <v>117.06895512322697</v>
      </c>
      <c r="J20" s="83">
        <f>J4-E4</f>
        <v>82.259257972044992</v>
      </c>
      <c r="K20" s="84">
        <f>K4-E4</f>
        <v>82.121039108856024</v>
      </c>
      <c r="L20" s="85">
        <f>L4-E4</f>
        <v>28.340706319518006</v>
      </c>
      <c r="M20" s="86" t="s">
        <v>41</v>
      </c>
      <c r="N20" s="40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40"/>
    </row>
    <row r="21" spans="1:27" ht="18" customHeight="1" x14ac:dyDescent="0.15">
      <c r="A21" s="14"/>
      <c r="B21" s="67"/>
      <c r="C21" s="67"/>
      <c r="D21" s="98"/>
      <c r="E21" s="2803"/>
      <c r="F21" s="79">
        <f>F5-E5</f>
        <v>16.279116040253001</v>
      </c>
      <c r="G21" s="80">
        <f>G5-E5</f>
        <v>30.39111599416799</v>
      </c>
      <c r="H21" s="81">
        <f>H5-E5</f>
        <v>2.2479962720140065</v>
      </c>
      <c r="I21" s="82">
        <f>I5-E5</f>
        <v>121.28806015117001</v>
      </c>
      <c r="J21" s="83">
        <f>J5-E5</f>
        <v>85.281611049304018</v>
      </c>
      <c r="K21" s="84">
        <f>K5-E5</f>
        <v>84.970446395166022</v>
      </c>
      <c r="L21" s="85">
        <f>L5-E5</f>
        <v>30.675792892931014</v>
      </c>
      <c r="M21" s="86" t="s">
        <v>43</v>
      </c>
      <c r="N21" s="40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40"/>
    </row>
    <row r="22" spans="1:27" ht="18" customHeight="1" x14ac:dyDescent="0.15">
      <c r="A22" s="14"/>
      <c r="B22" s="67"/>
      <c r="C22" s="23"/>
      <c r="D22" s="98"/>
      <c r="E22" s="2803"/>
      <c r="F22" s="79">
        <f>F6-E6</f>
        <v>14.398999999999997</v>
      </c>
      <c r="G22" s="80">
        <f>G6-E6</f>
        <v>24.787000000000003</v>
      </c>
      <c r="H22" s="81">
        <f>H6-E6</f>
        <v>2.1840000000000011</v>
      </c>
      <c r="I22" s="82">
        <f>I6-E6</f>
        <v>96.216999999999999</v>
      </c>
      <c r="J22" s="83">
        <f>J6-E6</f>
        <v>61.33</v>
      </c>
      <c r="K22" s="84">
        <f>K6-E6</f>
        <v>62.006</v>
      </c>
      <c r="L22" s="85">
        <f>L6-E6</f>
        <v>33.379999999999995</v>
      </c>
      <c r="M22" s="86" t="s">
        <v>45</v>
      </c>
      <c r="N22" s="40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40"/>
    </row>
    <row r="23" spans="1:27" ht="10" customHeight="1" x14ac:dyDescent="0.15">
      <c r="A23" s="14"/>
      <c r="B23" s="67"/>
      <c r="C23" s="23"/>
      <c r="D23" s="98"/>
      <c r="E23" s="98"/>
      <c r="F23" s="90"/>
      <c r="G23" s="91"/>
      <c r="H23" s="92"/>
      <c r="I23" s="93"/>
      <c r="J23" s="50"/>
      <c r="K23" s="94"/>
      <c r="L23" s="95"/>
      <c r="M23" s="96"/>
      <c r="N23" s="40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40"/>
    </row>
    <row r="24" spans="1:27" ht="18" customHeight="1" x14ac:dyDescent="0.15">
      <c r="A24" s="14"/>
      <c r="B24" s="67"/>
      <c r="C24" s="100" t="s">
        <v>32</v>
      </c>
      <c r="D24" s="98"/>
      <c r="E24" s="98"/>
      <c r="F24" s="2800" t="s">
        <v>47</v>
      </c>
      <c r="G24" s="80">
        <f>F3+360-G3</f>
        <v>156.85875399693001</v>
      </c>
      <c r="H24" s="81">
        <f>H3-F3</f>
        <v>162.50971855039199</v>
      </c>
      <c r="I24" s="82">
        <f>F3+360-I3</f>
        <v>74.552650985400021</v>
      </c>
      <c r="J24" s="83">
        <f>F3+360-J3</f>
        <v>112.46790946015699</v>
      </c>
      <c r="K24" s="84">
        <f>F3+360-K3</f>
        <v>113.52546977546501</v>
      </c>
      <c r="L24" s="85">
        <f>L3-F3</f>
        <v>191.367080943399</v>
      </c>
      <c r="M24" s="86" t="s">
        <v>39</v>
      </c>
      <c r="N24" s="40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40"/>
    </row>
    <row r="25" spans="1:27" ht="18" customHeight="1" x14ac:dyDescent="0.15">
      <c r="A25" s="14"/>
      <c r="B25" s="67"/>
      <c r="C25" s="101">
        <v>117</v>
      </c>
      <c r="D25" s="98"/>
      <c r="E25" s="98"/>
      <c r="F25" s="2801"/>
      <c r="G25" s="80">
        <f>G4-F4</f>
        <v>13.993499695742997</v>
      </c>
      <c r="H25" s="81">
        <f>F4-H4</f>
        <v>14.822661850548997</v>
      </c>
      <c r="I25" s="82">
        <f>I4-F4</f>
        <v>99.720036673256971</v>
      </c>
      <c r="J25" s="83">
        <f>J4-F4</f>
        <v>64.910339522074992</v>
      </c>
      <c r="K25" s="84">
        <f>K4-F4</f>
        <v>64.772120658886024</v>
      </c>
      <c r="L25" s="85">
        <f>L4-F4</f>
        <v>10.991787869548006</v>
      </c>
      <c r="M25" s="86" t="s">
        <v>41</v>
      </c>
      <c r="N25" s="40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40"/>
    </row>
    <row r="26" spans="1:27" ht="18" customHeight="1" x14ac:dyDescent="0.15">
      <c r="A26" s="14"/>
      <c r="B26" s="67"/>
      <c r="C26" s="101">
        <v>27</v>
      </c>
      <c r="D26" s="98"/>
      <c r="E26" s="98"/>
      <c r="F26" s="2801"/>
      <c r="G26" s="80">
        <f>G5-F5</f>
        <v>14.111999953914989</v>
      </c>
      <c r="H26" s="81">
        <f>F5-H5</f>
        <v>14.031119768238995</v>
      </c>
      <c r="I26" s="82">
        <f>I5-F5</f>
        <v>105.00894411091701</v>
      </c>
      <c r="J26" s="83">
        <f>J5-F5</f>
        <v>69.002495009051017</v>
      </c>
      <c r="K26" s="84">
        <f>K5-F5</f>
        <v>68.691330354913021</v>
      </c>
      <c r="L26" s="85">
        <f>L5-F5</f>
        <v>14.396676852678013</v>
      </c>
      <c r="M26" s="86" t="s">
        <v>43</v>
      </c>
      <c r="N26" s="40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40"/>
    </row>
    <row r="27" spans="1:27" ht="18" customHeight="1" x14ac:dyDescent="0.15">
      <c r="A27" s="14"/>
      <c r="B27" s="67"/>
      <c r="C27" s="102">
        <f>C25+C26/60</f>
        <v>117.45</v>
      </c>
      <c r="D27" s="98"/>
      <c r="E27" s="98"/>
      <c r="F27" s="2801"/>
      <c r="G27" s="80">
        <f>G6-F6</f>
        <v>10.388000000000005</v>
      </c>
      <c r="H27" s="81">
        <f>F6-H6</f>
        <v>12.214999999999996</v>
      </c>
      <c r="I27" s="82">
        <f>I6-F6</f>
        <v>81.818000000000012</v>
      </c>
      <c r="J27" s="83">
        <f>J6-F6</f>
        <v>46.931000000000004</v>
      </c>
      <c r="K27" s="84">
        <f>K6-F6</f>
        <v>47.607000000000006</v>
      </c>
      <c r="L27" s="85">
        <f>L6-F6</f>
        <v>18.981000000000002</v>
      </c>
      <c r="M27" s="86" t="s">
        <v>45</v>
      </c>
      <c r="N27" s="40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40"/>
    </row>
    <row r="28" spans="1:27" ht="10" customHeight="1" x14ac:dyDescent="0.15">
      <c r="A28" s="14"/>
      <c r="B28" s="67"/>
      <c r="C28" s="100" t="s">
        <v>34</v>
      </c>
      <c r="D28" s="98"/>
      <c r="E28" s="98"/>
      <c r="F28" s="98"/>
      <c r="G28" s="98"/>
      <c r="H28" s="92"/>
      <c r="I28" s="93"/>
      <c r="J28" s="50"/>
      <c r="K28" s="94"/>
      <c r="L28" s="95"/>
      <c r="M28" s="96"/>
      <c r="N28" s="40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40"/>
    </row>
    <row r="29" spans="1:27" ht="18" customHeight="1" x14ac:dyDescent="0.15">
      <c r="A29" s="14"/>
      <c r="B29" s="40"/>
      <c r="C29" s="103">
        <f>360-C27</f>
        <v>242.55</v>
      </c>
      <c r="D29" s="40"/>
      <c r="E29" s="40"/>
      <c r="F29" s="98"/>
      <c r="G29" s="2798" t="s">
        <v>13</v>
      </c>
      <c r="H29" s="81">
        <f>G3-H3</f>
        <v>40.631527452678</v>
      </c>
      <c r="I29" s="82">
        <f>I3-G3</f>
        <v>82.306103011529984</v>
      </c>
      <c r="J29" s="83">
        <f>J3-G3</f>
        <v>44.390844536773017</v>
      </c>
      <c r="K29" s="84">
        <f>K3-G3</f>
        <v>43.333284221464993</v>
      </c>
      <c r="L29" s="85">
        <f>G3-L3</f>
        <v>11.774165059670992</v>
      </c>
      <c r="M29" s="86" t="s">
        <v>39</v>
      </c>
      <c r="N29" s="40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40"/>
    </row>
    <row r="30" spans="1:27" ht="18" customHeight="1" x14ac:dyDescent="0.15">
      <c r="A30" s="14"/>
      <c r="B30" s="40"/>
      <c r="C30" s="40"/>
      <c r="D30" s="40"/>
      <c r="E30" s="40"/>
      <c r="F30" s="98"/>
      <c r="G30" s="2799"/>
      <c r="H30" s="81">
        <f>G4-H4</f>
        <v>28.816161546291994</v>
      </c>
      <c r="I30" s="82">
        <f>I4-G4</f>
        <v>85.726536977513973</v>
      </c>
      <c r="J30" s="83">
        <f>J4-G4</f>
        <v>50.916839826331994</v>
      </c>
      <c r="K30" s="84">
        <f>K4-G4</f>
        <v>50.778620963143027</v>
      </c>
      <c r="L30" s="85">
        <f>G4-L4</f>
        <v>3.0017118261949918</v>
      </c>
      <c r="M30" s="86" t="s">
        <v>41</v>
      </c>
      <c r="N30" s="40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40"/>
    </row>
    <row r="31" spans="1:27" ht="18" customHeight="1" x14ac:dyDescent="0.15">
      <c r="A31" s="14"/>
      <c r="B31" s="40"/>
      <c r="C31" s="40"/>
      <c r="D31" s="40"/>
      <c r="E31" s="40"/>
      <c r="F31" s="98"/>
      <c r="G31" s="2799"/>
      <c r="H31" s="81">
        <f>G5-H5</f>
        <v>28.143119722153983</v>
      </c>
      <c r="I31" s="82">
        <f>I5-G5</f>
        <v>90.896944157002025</v>
      </c>
      <c r="J31" s="83">
        <f>J5-G5</f>
        <v>54.890495055136029</v>
      </c>
      <c r="K31" s="84">
        <f>K5-G5</f>
        <v>54.579330400998032</v>
      </c>
      <c r="L31" s="85">
        <f>L5-G5</f>
        <v>0.28467689876302416</v>
      </c>
      <c r="M31" s="86" t="s">
        <v>43</v>
      </c>
      <c r="N31" s="40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40"/>
    </row>
    <row r="32" spans="1:27" ht="18" customHeight="1" x14ac:dyDescent="0.15">
      <c r="A32" s="14"/>
      <c r="B32" s="40"/>
      <c r="C32" s="40"/>
      <c r="D32" s="40"/>
      <c r="E32" s="40"/>
      <c r="F32" s="98"/>
      <c r="G32" s="2799"/>
      <c r="H32" s="81">
        <f>G6-H6</f>
        <v>22.603000000000002</v>
      </c>
      <c r="I32" s="82">
        <f>I6-G6</f>
        <v>71.430000000000007</v>
      </c>
      <c r="J32" s="83">
        <f>J6-G6</f>
        <v>36.542999999999999</v>
      </c>
      <c r="K32" s="84">
        <f>K6-G6</f>
        <v>37.219000000000001</v>
      </c>
      <c r="L32" s="85">
        <f>L6-G6</f>
        <v>8.5929999999999964</v>
      </c>
      <c r="M32" s="86" t="s">
        <v>45</v>
      </c>
      <c r="N32" s="40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40"/>
    </row>
    <row r="33" spans="1:27" ht="10" customHeight="1" x14ac:dyDescent="0.15">
      <c r="A33" s="14"/>
      <c r="B33" s="40"/>
      <c r="C33" s="40"/>
      <c r="D33" s="40"/>
      <c r="E33" s="40"/>
      <c r="F33" s="98"/>
      <c r="G33" s="98"/>
      <c r="H33" s="92"/>
      <c r="I33" s="93"/>
      <c r="J33" s="50"/>
      <c r="K33" s="94"/>
      <c r="L33" s="95"/>
      <c r="M33" s="96"/>
      <c r="N33" s="40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40"/>
    </row>
    <row r="34" spans="1:27" ht="18" customHeight="1" x14ac:dyDescent="0.15">
      <c r="A34" s="14"/>
      <c r="B34" s="40"/>
      <c r="C34" s="40"/>
      <c r="D34" s="40"/>
      <c r="E34" s="40"/>
      <c r="F34" s="98"/>
      <c r="G34" s="98"/>
      <c r="H34" s="2796" t="s">
        <v>14</v>
      </c>
      <c r="I34" s="82">
        <f>I3-H3</f>
        <v>122.93763046420798</v>
      </c>
      <c r="J34" s="83">
        <f>J3-H3</f>
        <v>85.022371989451017</v>
      </c>
      <c r="K34" s="84">
        <f>K3-H3</f>
        <v>83.964811674142993</v>
      </c>
      <c r="L34" s="85">
        <f>L3-H3</f>
        <v>28.857362393007008</v>
      </c>
      <c r="M34" s="86" t="s">
        <v>39</v>
      </c>
      <c r="N34" s="40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40"/>
    </row>
    <row r="35" spans="1:27" ht="18" customHeight="1" x14ac:dyDescent="0.15">
      <c r="A35" s="14"/>
      <c r="B35" s="40"/>
      <c r="C35" s="40"/>
      <c r="D35" s="40"/>
      <c r="E35" s="40"/>
      <c r="F35" s="98"/>
      <c r="G35" s="98"/>
      <c r="H35" s="2797"/>
      <c r="I35" s="82">
        <f>I4-H4</f>
        <v>114.54269852380597</v>
      </c>
      <c r="J35" s="83">
        <f>J4-H4</f>
        <v>79.733001372623988</v>
      </c>
      <c r="K35" s="84">
        <f>K4-H4</f>
        <v>79.594782509435021</v>
      </c>
      <c r="L35" s="85">
        <f>L4-H4</f>
        <v>25.814449720097002</v>
      </c>
      <c r="M35" s="86" t="s">
        <v>41</v>
      </c>
      <c r="N35" s="40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40"/>
    </row>
    <row r="36" spans="1:27" ht="18" customHeight="1" x14ac:dyDescent="0.15">
      <c r="A36" s="14"/>
      <c r="B36" s="40"/>
      <c r="C36" s="40"/>
      <c r="D36" s="40"/>
      <c r="E36" s="40"/>
      <c r="F36" s="98"/>
      <c r="G36" s="98"/>
      <c r="H36" s="2797"/>
      <c r="I36" s="82">
        <f>I5-H5</f>
        <v>119.04006387915601</v>
      </c>
      <c r="J36" s="83">
        <f>J5-H5</f>
        <v>83.033614777290012</v>
      </c>
      <c r="K36" s="84">
        <f>K5-H5</f>
        <v>82.722450123152015</v>
      </c>
      <c r="L36" s="85">
        <f>L5-H5</f>
        <v>28.427796620917007</v>
      </c>
      <c r="M36" s="86" t="s">
        <v>43</v>
      </c>
      <c r="N36" s="40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40"/>
    </row>
    <row r="37" spans="1:27" ht="18" customHeight="1" x14ac:dyDescent="0.15">
      <c r="A37" s="14"/>
      <c r="B37" s="67"/>
      <c r="C37" s="67"/>
      <c r="D37" s="98"/>
      <c r="E37" s="98"/>
      <c r="F37" s="98"/>
      <c r="G37" s="98"/>
      <c r="H37" s="2797"/>
      <c r="I37" s="82">
        <f>I6-H6</f>
        <v>94.033000000000001</v>
      </c>
      <c r="J37" s="83">
        <f>J6-H6</f>
        <v>59.146000000000001</v>
      </c>
      <c r="K37" s="84">
        <f>K6-H6</f>
        <v>59.822000000000003</v>
      </c>
      <c r="L37" s="85">
        <f>L6-H6</f>
        <v>31.195999999999998</v>
      </c>
      <c r="M37" s="86" t="s">
        <v>45</v>
      </c>
      <c r="N37" s="40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40"/>
    </row>
    <row r="38" spans="1:27" ht="10" customHeight="1" x14ac:dyDescent="0.15">
      <c r="A38" s="14"/>
      <c r="B38" s="67"/>
      <c r="C38" s="67"/>
      <c r="D38" s="98"/>
      <c r="E38" s="98"/>
      <c r="F38" s="98"/>
      <c r="G38" s="98"/>
      <c r="H38" s="105"/>
      <c r="I38" s="106"/>
      <c r="J38" s="50"/>
      <c r="K38" s="94"/>
      <c r="L38" s="95"/>
      <c r="M38" s="96"/>
      <c r="N38" s="40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40"/>
    </row>
    <row r="39" spans="1:27" ht="18" customHeight="1" x14ac:dyDescent="0.15">
      <c r="A39" s="14"/>
      <c r="B39" s="67"/>
      <c r="C39" s="67"/>
      <c r="D39" s="98"/>
      <c r="E39" s="98"/>
      <c r="F39" s="98"/>
      <c r="G39" s="98"/>
      <c r="H39" s="105"/>
      <c r="I39" s="2794" t="s">
        <v>15</v>
      </c>
      <c r="J39" s="83">
        <f>I3-J3</f>
        <v>37.915258474756968</v>
      </c>
      <c r="K39" s="84">
        <f>I3-K3</f>
        <v>38.972818790064991</v>
      </c>
      <c r="L39" s="85">
        <f>I3-L3</f>
        <v>94.080268071200976</v>
      </c>
      <c r="M39" s="86" t="s">
        <v>39</v>
      </c>
      <c r="N39" s="40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40"/>
    </row>
    <row r="40" spans="1:27" ht="18" customHeight="1" x14ac:dyDescent="0.15">
      <c r="A40" s="14"/>
      <c r="B40" s="67"/>
      <c r="C40" s="67"/>
      <c r="D40" s="98"/>
      <c r="E40" s="98"/>
      <c r="F40" s="98"/>
      <c r="G40" s="98"/>
      <c r="H40" s="105"/>
      <c r="I40" s="2795"/>
      <c r="J40" s="83">
        <f>I4-J4</f>
        <v>34.809697151181979</v>
      </c>
      <c r="K40" s="84">
        <f>I4-K4</f>
        <v>34.947916014370946</v>
      </c>
      <c r="L40" s="85">
        <f>I4-L4</f>
        <v>88.728248803708965</v>
      </c>
      <c r="M40" s="86" t="s">
        <v>41</v>
      </c>
      <c r="N40" s="40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40"/>
    </row>
    <row r="41" spans="1:27" ht="18" customHeight="1" x14ac:dyDescent="0.15">
      <c r="A41" s="14"/>
      <c r="B41" s="67"/>
      <c r="C41" s="67"/>
      <c r="D41" s="98"/>
      <c r="E41" s="98"/>
      <c r="F41" s="98"/>
      <c r="G41" s="98"/>
      <c r="H41" s="105"/>
      <c r="I41" s="2795"/>
      <c r="J41" s="83">
        <f>I5-J5</f>
        <v>36.006449101865996</v>
      </c>
      <c r="K41" s="84">
        <f>I5-K5</f>
        <v>36.317613756003993</v>
      </c>
      <c r="L41" s="85">
        <f>I5-L5</f>
        <v>90.612267258239001</v>
      </c>
      <c r="M41" s="86" t="s">
        <v>43</v>
      </c>
      <c r="N41" s="40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40"/>
    </row>
    <row r="42" spans="1:27" ht="18" customHeight="1" x14ac:dyDescent="0.15">
      <c r="A42" s="14"/>
      <c r="B42" s="67"/>
      <c r="C42" s="67"/>
      <c r="D42" s="98"/>
      <c r="E42" s="98"/>
      <c r="F42" s="98"/>
      <c r="G42" s="98"/>
      <c r="H42" s="105"/>
      <c r="I42" s="2795"/>
      <c r="J42" s="83">
        <f>I6-J6</f>
        <v>34.887</v>
      </c>
      <c r="K42" s="84">
        <f>I6-K6</f>
        <v>34.210999999999999</v>
      </c>
      <c r="L42" s="85">
        <f>I6-L6</f>
        <v>62.837000000000003</v>
      </c>
      <c r="M42" s="86" t="s">
        <v>45</v>
      </c>
      <c r="N42" s="40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40"/>
    </row>
    <row r="43" spans="1:27" ht="10" customHeight="1" x14ac:dyDescent="0.15">
      <c r="A43" s="14"/>
      <c r="B43" s="67"/>
      <c r="C43" s="67"/>
      <c r="D43" s="98"/>
      <c r="E43" s="98"/>
      <c r="F43" s="98"/>
      <c r="G43" s="98"/>
      <c r="H43" s="105"/>
      <c r="I43" s="98"/>
      <c r="J43" s="50"/>
      <c r="K43" s="94"/>
      <c r="L43" s="95"/>
      <c r="M43" s="96"/>
      <c r="N43" s="40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40"/>
    </row>
    <row r="44" spans="1:27" ht="18" customHeight="1" x14ac:dyDescent="0.15">
      <c r="A44" s="14"/>
      <c r="B44" s="67"/>
      <c r="C44" s="67"/>
      <c r="D44" s="98"/>
      <c r="E44" s="98"/>
      <c r="F44" s="98"/>
      <c r="G44" s="98"/>
      <c r="H44" s="105"/>
      <c r="I44" s="98"/>
      <c r="J44" s="2790" t="s">
        <v>16</v>
      </c>
      <c r="K44" s="84">
        <f>J3-K3</f>
        <v>1.0575603153080237</v>
      </c>
      <c r="L44" s="85">
        <f>J3-L3</f>
        <v>56.165009596444008</v>
      </c>
      <c r="M44" s="86" t="s">
        <v>39</v>
      </c>
      <c r="N44" s="40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40"/>
    </row>
    <row r="45" spans="1:27" ht="18" customHeight="1" x14ac:dyDescent="0.15">
      <c r="A45" s="14"/>
      <c r="B45" s="67"/>
      <c r="C45" s="67"/>
      <c r="D45" s="98"/>
      <c r="E45" s="98"/>
      <c r="F45" s="98"/>
      <c r="G45" s="98"/>
      <c r="H45" s="105"/>
      <c r="I45" s="98"/>
      <c r="J45" s="2791"/>
      <c r="K45" s="107">
        <f>J4-K4</f>
        <v>0.13821886318896759</v>
      </c>
      <c r="L45" s="85">
        <f>J4-L4</f>
        <v>53.918551652526986</v>
      </c>
      <c r="M45" s="86" t="s">
        <v>41</v>
      </c>
      <c r="N45" s="40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40"/>
    </row>
    <row r="46" spans="1:27" ht="18" customHeight="1" x14ac:dyDescent="0.15">
      <c r="A46" s="14"/>
      <c r="B46" s="67"/>
      <c r="C46" s="67"/>
      <c r="D46" s="98"/>
      <c r="E46" s="98"/>
      <c r="F46" s="98"/>
      <c r="G46" s="98"/>
      <c r="H46" s="105"/>
      <c r="I46" s="98"/>
      <c r="J46" s="2791"/>
      <c r="K46" s="107">
        <f>J5-K5</f>
        <v>0.31116465413799688</v>
      </c>
      <c r="L46" s="85">
        <f>J5-L5</f>
        <v>54.605818156373005</v>
      </c>
      <c r="M46" s="86" t="s">
        <v>43</v>
      </c>
      <c r="N46" s="40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40"/>
    </row>
    <row r="47" spans="1:27" ht="18" customHeight="1" x14ac:dyDescent="0.15">
      <c r="A47" s="14"/>
      <c r="B47" s="67"/>
      <c r="C47" s="67"/>
      <c r="D47" s="98"/>
      <c r="E47" s="98"/>
      <c r="F47" s="98"/>
      <c r="G47" s="98"/>
      <c r="H47" s="105"/>
      <c r="I47" s="98"/>
      <c r="J47" s="2791"/>
      <c r="K47" s="107">
        <f>K6-J6</f>
        <v>0.67600000000000193</v>
      </c>
      <c r="L47" s="85">
        <f>J6-L6</f>
        <v>27.950000000000003</v>
      </c>
      <c r="M47" s="86" t="s">
        <v>45</v>
      </c>
      <c r="N47" s="40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40"/>
    </row>
    <row r="48" spans="1:27" ht="10" customHeight="1" x14ac:dyDescent="0.15">
      <c r="A48" s="14"/>
      <c r="B48" s="67"/>
      <c r="C48" s="67"/>
      <c r="D48" s="98"/>
      <c r="E48" s="98"/>
      <c r="F48" s="98"/>
      <c r="G48" s="98"/>
      <c r="H48" s="105"/>
      <c r="I48" s="98"/>
      <c r="J48" s="98"/>
      <c r="K48" s="98"/>
      <c r="L48" s="95"/>
      <c r="M48" s="96"/>
      <c r="N48" s="40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40"/>
    </row>
    <row r="49" spans="1:27" ht="18" customHeight="1" x14ac:dyDescent="0.15">
      <c r="A49" s="14"/>
      <c r="B49" s="67"/>
      <c r="C49" s="67"/>
      <c r="D49" s="98"/>
      <c r="E49" s="98"/>
      <c r="F49" s="98"/>
      <c r="G49" s="98"/>
      <c r="H49" s="105"/>
      <c r="I49" s="98"/>
      <c r="J49" s="98"/>
      <c r="K49" s="2788" t="s">
        <v>17</v>
      </c>
      <c r="L49" s="85">
        <f>K3-L3</f>
        <v>55.107449281135985</v>
      </c>
      <c r="M49" s="86" t="s">
        <v>39</v>
      </c>
      <c r="N49" s="40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40"/>
    </row>
    <row r="50" spans="1:27" ht="18" customHeight="1" x14ac:dyDescent="0.15">
      <c r="A50" s="14"/>
      <c r="B50" s="67"/>
      <c r="C50" s="67"/>
      <c r="D50" s="98"/>
      <c r="E50" s="98"/>
      <c r="F50" s="98"/>
      <c r="G50" s="98"/>
      <c r="H50" s="105"/>
      <c r="I50" s="98"/>
      <c r="J50" s="98"/>
      <c r="K50" s="2789"/>
      <c r="L50" s="85">
        <f>K4-L4</f>
        <v>53.780332789338019</v>
      </c>
      <c r="M50" s="86" t="s">
        <v>41</v>
      </c>
      <c r="N50" s="40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40"/>
    </row>
    <row r="51" spans="1:27" ht="18" customHeight="1" x14ac:dyDescent="0.15">
      <c r="A51" s="14"/>
      <c r="B51" s="67"/>
      <c r="C51" s="67"/>
      <c r="D51" s="98"/>
      <c r="E51" s="98"/>
      <c r="F51" s="98"/>
      <c r="G51" s="98"/>
      <c r="H51" s="105"/>
      <c r="I51" s="98"/>
      <c r="J51" s="98"/>
      <c r="K51" s="2789"/>
      <c r="L51" s="85">
        <f>K5-L5</f>
        <v>54.294653502235008</v>
      </c>
      <c r="M51" s="86" t="s">
        <v>43</v>
      </c>
      <c r="N51" s="40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40"/>
    </row>
    <row r="52" spans="1:27" ht="18" customHeight="1" x14ac:dyDescent="0.15">
      <c r="A52" s="14"/>
      <c r="B52" s="67"/>
      <c r="C52" s="67"/>
      <c r="D52" s="98"/>
      <c r="E52" s="98"/>
      <c r="F52" s="98"/>
      <c r="G52" s="98"/>
      <c r="H52" s="105"/>
      <c r="I52" s="98"/>
      <c r="J52" s="98"/>
      <c r="K52" s="2789"/>
      <c r="L52" s="85">
        <f>K6-L6</f>
        <v>28.626000000000005</v>
      </c>
      <c r="M52" s="86" t="s">
        <v>45</v>
      </c>
      <c r="N52" s="40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40"/>
    </row>
  </sheetData>
  <mergeCells count="10">
    <mergeCell ref="K49:K52"/>
    <mergeCell ref="J44:J47"/>
    <mergeCell ref="B1:M1"/>
    <mergeCell ref="I39:I42"/>
    <mergeCell ref="H34:H37"/>
    <mergeCell ref="G29:G32"/>
    <mergeCell ref="F24:F27"/>
    <mergeCell ref="E19:E22"/>
    <mergeCell ref="D14:D17"/>
    <mergeCell ref="C9:C12"/>
  </mergeCells>
  <pageMargins left="0.78749999999999998" right="0.78749999999999998" top="0.98402800000000001" bottom="0.98402800000000001" header="0.51180599999999998" footer="0.51180599999999998"/>
  <pageSetup orientation="portrait"/>
  <headerFooter>
    <oddFooter>&amp;C&amp;"Helvetica Neue,Regular"&amp;12&amp;K000000&amp;P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R43"/>
  <sheetViews>
    <sheetView showGridLines="0" topLeftCell="B29" zoomScale="190" zoomScaleNormal="190" workbookViewId="0">
      <selection activeCell="U27" sqref="U27"/>
    </sheetView>
  </sheetViews>
  <sheetFormatPr baseColWidth="10" defaultRowHeight="13" x14ac:dyDescent="0.15"/>
  <cols>
    <col min="2" max="2" width="4.1640625" customWidth="1"/>
    <col min="3" max="3" width="4.5" customWidth="1"/>
    <col min="4" max="6" width="7.83203125" bestFit="1" customWidth="1"/>
    <col min="7" max="8" width="7.83203125" customWidth="1"/>
    <col min="9" max="9" width="7.83203125" bestFit="1" customWidth="1"/>
    <col min="10" max="10" width="4.1640625" customWidth="1"/>
    <col min="11" max="11" width="3.33203125" bestFit="1" customWidth="1"/>
    <col min="12" max="12" width="4.33203125" bestFit="1" customWidth="1"/>
    <col min="13" max="13" width="4.1640625" customWidth="1"/>
    <col min="14" max="14" width="4.5" customWidth="1"/>
    <col min="15" max="17" width="4.33203125" customWidth="1"/>
    <col min="18" max="18" width="7" customWidth="1"/>
    <col min="19" max="19" width="7.6640625" customWidth="1"/>
  </cols>
  <sheetData>
    <row r="3" spans="3:12" x14ac:dyDescent="0.15">
      <c r="C3" s="2907" t="s">
        <v>472</v>
      </c>
      <c r="D3" s="2907"/>
      <c r="E3" s="2907"/>
      <c r="F3" s="2907"/>
      <c r="G3" s="2525"/>
      <c r="H3" s="2525"/>
      <c r="I3" s="2907" t="s">
        <v>473</v>
      </c>
      <c r="J3" s="2907"/>
      <c r="K3" s="2907"/>
      <c r="L3" s="2907"/>
    </row>
    <row r="5" spans="3:12" x14ac:dyDescent="0.15">
      <c r="C5" s="2491" t="s">
        <v>162</v>
      </c>
      <c r="D5" s="2492" t="s">
        <v>148</v>
      </c>
      <c r="E5" s="2492" t="s">
        <v>149</v>
      </c>
      <c r="F5" s="2493" t="s">
        <v>74</v>
      </c>
      <c r="G5" s="260"/>
      <c r="H5" s="260"/>
      <c r="I5" s="1741" t="s">
        <v>74</v>
      </c>
      <c r="J5" s="1742" t="s">
        <v>162</v>
      </c>
      <c r="K5" s="1743" t="s">
        <v>148</v>
      </c>
      <c r="L5" s="1744" t="s">
        <v>149</v>
      </c>
    </row>
    <row r="6" spans="3:12" ht="21" x14ac:dyDescent="0.15">
      <c r="C6" s="2494" t="s">
        <v>13</v>
      </c>
      <c r="D6" s="2488">
        <v>15</v>
      </c>
      <c r="E6" s="2489">
        <f t="shared" ref="E6:E15" si="0">D6/5</f>
        <v>3</v>
      </c>
      <c r="F6" s="2490">
        <v>1</v>
      </c>
      <c r="G6" s="260"/>
      <c r="H6" s="260"/>
      <c r="I6" s="1770">
        <v>1</v>
      </c>
      <c r="J6" s="473" t="s">
        <v>10</v>
      </c>
      <c r="K6" s="447">
        <v>12</v>
      </c>
      <c r="L6" s="1756">
        <f t="shared" ref="L6:L15" si="1">K6/5</f>
        <v>2.4</v>
      </c>
    </row>
    <row r="7" spans="3:12" ht="21" x14ac:dyDescent="0.15">
      <c r="C7" s="2495" t="s">
        <v>11</v>
      </c>
      <c r="D7" s="2504">
        <v>21</v>
      </c>
      <c r="E7" s="2505">
        <f t="shared" si="0"/>
        <v>4.2</v>
      </c>
      <c r="F7" s="2506">
        <v>2</v>
      </c>
      <c r="G7" s="260"/>
      <c r="H7" s="260"/>
      <c r="I7" s="1776">
        <v>2</v>
      </c>
      <c r="J7" s="552" t="s">
        <v>18</v>
      </c>
      <c r="K7" s="522">
        <v>12</v>
      </c>
      <c r="L7" s="1768">
        <f t="shared" si="1"/>
        <v>2.4</v>
      </c>
    </row>
    <row r="8" spans="3:12" ht="21" x14ac:dyDescent="0.15">
      <c r="C8" s="2496" t="s">
        <v>9</v>
      </c>
      <c r="D8" s="2507">
        <v>21</v>
      </c>
      <c r="E8" s="2508">
        <f t="shared" si="0"/>
        <v>4.2</v>
      </c>
      <c r="F8" s="2509">
        <v>3</v>
      </c>
      <c r="G8" s="260"/>
      <c r="H8" s="260"/>
      <c r="I8" s="1773">
        <v>3</v>
      </c>
      <c r="J8" s="440" t="s">
        <v>13</v>
      </c>
      <c r="K8" s="737">
        <v>24</v>
      </c>
      <c r="L8" s="1757">
        <f t="shared" si="1"/>
        <v>4.8</v>
      </c>
    </row>
    <row r="9" spans="3:12" ht="23" x14ac:dyDescent="0.15">
      <c r="C9" s="2497" t="s">
        <v>12</v>
      </c>
      <c r="D9" s="2510">
        <v>25</v>
      </c>
      <c r="E9" s="2511">
        <f t="shared" si="0"/>
        <v>5</v>
      </c>
      <c r="F9" s="2512">
        <v>4</v>
      </c>
      <c r="G9" s="260"/>
      <c r="H9" s="260"/>
      <c r="I9" s="1771">
        <v>4</v>
      </c>
      <c r="J9" s="718" t="s">
        <v>12</v>
      </c>
      <c r="K9" s="536">
        <v>27</v>
      </c>
      <c r="L9" s="1754">
        <f t="shared" si="1"/>
        <v>5.4</v>
      </c>
    </row>
    <row r="10" spans="3:12" ht="21" x14ac:dyDescent="0.15">
      <c r="C10" s="2498" t="s">
        <v>18</v>
      </c>
      <c r="D10" s="2513">
        <v>26</v>
      </c>
      <c r="E10" s="2514">
        <f t="shared" si="0"/>
        <v>5.2</v>
      </c>
      <c r="F10" s="2515">
        <v>5</v>
      </c>
      <c r="G10" s="260"/>
      <c r="H10" s="260"/>
      <c r="I10" s="1772">
        <v>5</v>
      </c>
      <c r="J10" s="542" t="s">
        <v>11</v>
      </c>
      <c r="K10" s="551">
        <v>29</v>
      </c>
      <c r="L10" s="1759">
        <f t="shared" si="1"/>
        <v>5.8</v>
      </c>
    </row>
    <row r="11" spans="3:12" ht="21" x14ac:dyDescent="0.15">
      <c r="C11" s="2499" t="s">
        <v>10</v>
      </c>
      <c r="D11" s="2516">
        <v>27</v>
      </c>
      <c r="E11" s="2517">
        <f t="shared" si="0"/>
        <v>5.4</v>
      </c>
      <c r="F11" s="2518">
        <v>6</v>
      </c>
      <c r="G11" s="260"/>
      <c r="H11" s="260"/>
      <c r="I11" s="1774">
        <v>6</v>
      </c>
      <c r="J11" s="579" t="s">
        <v>9</v>
      </c>
      <c r="K11" s="724">
        <v>29</v>
      </c>
      <c r="L11" s="1775">
        <f t="shared" si="1"/>
        <v>5.8</v>
      </c>
    </row>
    <row r="12" spans="3:12" ht="21" x14ac:dyDescent="0.15">
      <c r="C12" s="2500" t="s">
        <v>17</v>
      </c>
      <c r="D12" s="2482">
        <v>27</v>
      </c>
      <c r="E12" s="2483">
        <f t="shared" si="0"/>
        <v>5.4</v>
      </c>
      <c r="F12" s="2484">
        <v>7</v>
      </c>
      <c r="G12" s="260"/>
      <c r="H12" s="260"/>
      <c r="I12" s="1946">
        <v>7</v>
      </c>
      <c r="J12" s="387" t="s">
        <v>17</v>
      </c>
      <c r="K12" s="504">
        <v>29</v>
      </c>
      <c r="L12" s="1765">
        <f t="shared" si="1"/>
        <v>5.8</v>
      </c>
    </row>
    <row r="13" spans="3:12" ht="21" x14ac:dyDescent="0.15">
      <c r="C13" s="2501" t="s">
        <v>16</v>
      </c>
      <c r="D13" s="2519">
        <v>30</v>
      </c>
      <c r="E13" s="2520">
        <f t="shared" si="0"/>
        <v>6</v>
      </c>
      <c r="F13" s="2521">
        <v>8</v>
      </c>
      <c r="G13" s="260"/>
      <c r="H13" s="260"/>
      <c r="I13" s="1779">
        <v>8</v>
      </c>
      <c r="J13" s="347" t="s">
        <v>14</v>
      </c>
      <c r="K13" s="516">
        <v>35</v>
      </c>
      <c r="L13" s="1761">
        <f t="shared" si="1"/>
        <v>7</v>
      </c>
    </row>
    <row r="14" spans="3:12" ht="21" x14ac:dyDescent="0.15">
      <c r="C14" s="2502" t="s">
        <v>14</v>
      </c>
      <c r="D14" s="2485">
        <v>37</v>
      </c>
      <c r="E14" s="2486">
        <f t="shared" si="0"/>
        <v>7.4</v>
      </c>
      <c r="F14" s="2487">
        <v>9</v>
      </c>
      <c r="G14" s="260"/>
      <c r="H14" s="260"/>
      <c r="I14" s="1777">
        <v>9</v>
      </c>
      <c r="J14" s="537" t="s">
        <v>16</v>
      </c>
      <c r="K14" s="529">
        <v>38</v>
      </c>
      <c r="L14" s="1778">
        <f t="shared" si="1"/>
        <v>7.6</v>
      </c>
    </row>
    <row r="15" spans="3:12" ht="21" x14ac:dyDescent="0.15">
      <c r="C15" s="2503" t="s">
        <v>15</v>
      </c>
      <c r="D15" s="2522">
        <v>39</v>
      </c>
      <c r="E15" s="2523">
        <f t="shared" si="0"/>
        <v>7.8</v>
      </c>
      <c r="F15" s="2524">
        <v>10</v>
      </c>
      <c r="G15" s="260"/>
      <c r="H15" s="260"/>
      <c r="I15" s="2478">
        <v>10</v>
      </c>
      <c r="J15" s="2479" t="s">
        <v>15</v>
      </c>
      <c r="K15" s="2480">
        <v>40</v>
      </c>
      <c r="L15" s="2481">
        <f t="shared" si="1"/>
        <v>8</v>
      </c>
    </row>
    <row r="17" spans="10:18" x14ac:dyDescent="0.15">
      <c r="L17" s="2908" t="s">
        <v>485</v>
      </c>
      <c r="M17" s="2908"/>
      <c r="N17" s="2908"/>
      <c r="O17" s="2908"/>
      <c r="P17" s="2908"/>
      <c r="Q17" s="2908"/>
      <c r="R17" s="2908"/>
    </row>
    <row r="18" spans="10:18" ht="6" customHeight="1" x14ac:dyDescent="0.15"/>
    <row r="19" spans="10:18" x14ac:dyDescent="0.15">
      <c r="J19" s="2551"/>
      <c r="L19" s="1741" t="s">
        <v>40</v>
      </c>
      <c r="M19" s="2208" t="s">
        <v>53</v>
      </c>
      <c r="N19" s="1743" t="s">
        <v>44</v>
      </c>
      <c r="O19" s="1743" t="s">
        <v>42</v>
      </c>
      <c r="P19" s="1743" t="s">
        <v>40</v>
      </c>
      <c r="Q19" s="1743" t="s">
        <v>38</v>
      </c>
      <c r="R19" s="2727" t="s">
        <v>484</v>
      </c>
    </row>
    <row r="20" spans="10:18" ht="21" x14ac:dyDescent="0.15">
      <c r="J20" s="2551"/>
      <c r="L20" s="2760">
        <v>1</v>
      </c>
      <c r="M20" s="2728" t="s">
        <v>18</v>
      </c>
      <c r="N20" s="2729">
        <v>3.4</v>
      </c>
      <c r="O20" s="2729">
        <v>3.4</v>
      </c>
      <c r="P20" s="2729">
        <v>2.8</v>
      </c>
      <c r="Q20" s="2729">
        <v>2.4</v>
      </c>
      <c r="R20" s="2730">
        <f t="shared" ref="R20:R29" si="2">(Q20+P20+O20+N20)/4</f>
        <v>3</v>
      </c>
    </row>
    <row r="21" spans="10:18" ht="21" x14ac:dyDescent="0.15">
      <c r="J21" s="2551"/>
      <c r="L21" s="2761">
        <v>2</v>
      </c>
      <c r="M21" s="1783" t="s">
        <v>10</v>
      </c>
      <c r="N21" s="2689">
        <v>3.8</v>
      </c>
      <c r="O21" s="2689">
        <v>4</v>
      </c>
      <c r="P21" s="2689">
        <v>4</v>
      </c>
      <c r="Q21" s="2689">
        <v>2.4</v>
      </c>
      <c r="R21" s="2697">
        <f t="shared" si="2"/>
        <v>3.55</v>
      </c>
    </row>
    <row r="22" spans="10:18" ht="24" x14ac:dyDescent="0.15">
      <c r="J22" s="2551"/>
      <c r="L22" s="2762">
        <v>3</v>
      </c>
      <c r="M22" s="2736" t="s">
        <v>179</v>
      </c>
      <c r="N22" s="2737">
        <v>4.4000000000000004</v>
      </c>
      <c r="O22" s="2737">
        <v>5</v>
      </c>
      <c r="P22" s="2737">
        <v>3.8</v>
      </c>
      <c r="Q22" s="2737">
        <v>5.4</v>
      </c>
      <c r="R22" s="2738">
        <f t="shared" si="2"/>
        <v>4.6500000000000004</v>
      </c>
    </row>
    <row r="23" spans="10:18" ht="21" x14ac:dyDescent="0.15">
      <c r="J23" s="2551"/>
      <c r="L23" s="2763">
        <v>4</v>
      </c>
      <c r="M23" s="647" t="s">
        <v>13</v>
      </c>
      <c r="N23" s="2690">
        <v>6.8</v>
      </c>
      <c r="O23" s="2690">
        <v>4.2</v>
      </c>
      <c r="P23" s="2690">
        <v>3.8</v>
      </c>
      <c r="Q23" s="2690">
        <v>4.8</v>
      </c>
      <c r="R23" s="2698">
        <f t="shared" si="2"/>
        <v>4.9000000000000004</v>
      </c>
    </row>
    <row r="24" spans="10:18" ht="21" x14ac:dyDescent="0.15">
      <c r="J24" s="2551"/>
      <c r="L24" s="2764">
        <v>8</v>
      </c>
      <c r="M24" s="659" t="s">
        <v>11</v>
      </c>
      <c r="N24" s="660">
        <v>7.2</v>
      </c>
      <c r="O24" s="660">
        <v>6</v>
      </c>
      <c r="P24" s="660">
        <v>5</v>
      </c>
      <c r="Q24" s="660">
        <v>5.8</v>
      </c>
      <c r="R24" s="2213">
        <f t="shared" si="2"/>
        <v>6</v>
      </c>
    </row>
    <row r="25" spans="10:18" ht="21" x14ac:dyDescent="0.15">
      <c r="J25" s="2551"/>
      <c r="L25" s="2765">
        <v>6</v>
      </c>
      <c r="M25" s="2098" t="s">
        <v>17</v>
      </c>
      <c r="N25" s="2102">
        <v>4.8</v>
      </c>
      <c r="O25" s="2102">
        <v>6.2</v>
      </c>
      <c r="P25" s="2102">
        <v>7.2</v>
      </c>
      <c r="Q25" s="2102">
        <v>5.8</v>
      </c>
      <c r="R25" s="2216">
        <f t="shared" si="2"/>
        <v>6</v>
      </c>
    </row>
    <row r="26" spans="10:18" ht="21" x14ac:dyDescent="0.15">
      <c r="J26" s="2551"/>
      <c r="L26" s="2766">
        <v>7</v>
      </c>
      <c r="M26" s="606" t="s">
        <v>14</v>
      </c>
      <c r="N26" s="607">
        <v>7</v>
      </c>
      <c r="O26" s="607">
        <v>5.8</v>
      </c>
      <c r="P26" s="607">
        <v>5.2</v>
      </c>
      <c r="Q26" s="607">
        <v>7</v>
      </c>
      <c r="R26" s="2217">
        <f t="shared" si="2"/>
        <v>6.25</v>
      </c>
    </row>
    <row r="27" spans="10:18" ht="21" x14ac:dyDescent="0.15">
      <c r="J27" s="2551"/>
      <c r="L27" s="2767">
        <v>8</v>
      </c>
      <c r="M27" s="1782" t="s">
        <v>9</v>
      </c>
      <c r="N27" s="1784">
        <v>5.4</v>
      </c>
      <c r="O27" s="1784">
        <v>6</v>
      </c>
      <c r="P27" s="1784">
        <v>8</v>
      </c>
      <c r="Q27" s="1784">
        <v>5.8</v>
      </c>
      <c r="R27" s="2218">
        <f t="shared" si="2"/>
        <v>6.3000000000000007</v>
      </c>
    </row>
    <row r="28" spans="10:18" ht="21" x14ac:dyDescent="0.15">
      <c r="J28" s="2551"/>
      <c r="L28" s="2768">
        <v>9</v>
      </c>
      <c r="M28" s="672" t="s">
        <v>16</v>
      </c>
      <c r="N28" s="673">
        <v>5.4</v>
      </c>
      <c r="O28" s="673">
        <v>7.2</v>
      </c>
      <c r="P28" s="673">
        <v>7.4</v>
      </c>
      <c r="Q28" s="673">
        <v>7.6</v>
      </c>
      <c r="R28" s="2212">
        <f t="shared" si="2"/>
        <v>6.9</v>
      </c>
    </row>
    <row r="29" spans="10:18" ht="21" x14ac:dyDescent="0.15">
      <c r="J29" s="2551"/>
      <c r="L29" s="2769">
        <v>10</v>
      </c>
      <c r="M29" s="2743" t="s">
        <v>15</v>
      </c>
      <c r="N29" s="2744">
        <v>6.8</v>
      </c>
      <c r="O29" s="2744">
        <v>7.2</v>
      </c>
      <c r="P29" s="2744">
        <v>7.8</v>
      </c>
      <c r="Q29" s="2744">
        <v>8</v>
      </c>
      <c r="R29" s="2745">
        <f t="shared" si="2"/>
        <v>7.45</v>
      </c>
    </row>
    <row r="30" spans="10:18" x14ac:dyDescent="0.15">
      <c r="J30" s="2551"/>
      <c r="K30" s="2551"/>
    </row>
    <row r="31" spans="10:18" x14ac:dyDescent="0.15">
      <c r="J31" s="2551"/>
      <c r="K31" s="2551"/>
      <c r="L31" s="2909" t="s">
        <v>486</v>
      </c>
      <c r="M31" s="2909"/>
      <c r="N31" s="2909"/>
      <c r="O31" s="2909"/>
      <c r="P31" s="2909"/>
      <c r="Q31" s="2909"/>
      <c r="R31" s="2909"/>
    </row>
    <row r="32" spans="10:18" ht="6" customHeight="1" x14ac:dyDescent="0.15"/>
    <row r="33" spans="12:18" x14ac:dyDescent="0.15">
      <c r="L33" s="2712" t="s">
        <v>40</v>
      </c>
      <c r="M33" s="2492" t="s">
        <v>53</v>
      </c>
      <c r="N33" s="2492" t="s">
        <v>44</v>
      </c>
      <c r="O33" s="2492" t="s">
        <v>42</v>
      </c>
      <c r="P33" s="2492" t="s">
        <v>40</v>
      </c>
      <c r="Q33" s="2492" t="s">
        <v>38</v>
      </c>
      <c r="R33" s="2727" t="s">
        <v>484</v>
      </c>
    </row>
    <row r="34" spans="12:18" ht="21" x14ac:dyDescent="0.15">
      <c r="L34" s="2731">
        <v>1</v>
      </c>
      <c r="M34" s="2732" t="s">
        <v>18</v>
      </c>
      <c r="N34" s="2733">
        <v>5</v>
      </c>
      <c r="O34" s="2733">
        <v>3</v>
      </c>
      <c r="P34" s="2733">
        <v>3.5</v>
      </c>
      <c r="Q34" s="2734">
        <v>5.2</v>
      </c>
      <c r="R34" s="2735">
        <v>4.18</v>
      </c>
    </row>
    <row r="35" spans="12:18" ht="21" x14ac:dyDescent="0.15">
      <c r="L35" s="2713">
        <v>2</v>
      </c>
      <c r="M35" s="2705" t="s">
        <v>11</v>
      </c>
      <c r="N35" s="2699">
        <v>5.33</v>
      </c>
      <c r="O35" s="2699">
        <v>5.4</v>
      </c>
      <c r="P35" s="2699">
        <v>3.5</v>
      </c>
      <c r="Q35" s="2699">
        <v>4.2</v>
      </c>
      <c r="R35" s="2714">
        <v>4.6100000000000003</v>
      </c>
    </row>
    <row r="36" spans="12:18" ht="24" x14ac:dyDescent="0.15">
      <c r="L36" s="2739">
        <v>3</v>
      </c>
      <c r="M36" s="2740" t="s">
        <v>483</v>
      </c>
      <c r="N36" s="2741">
        <v>4.33</v>
      </c>
      <c r="O36" s="2741">
        <v>4.8</v>
      </c>
      <c r="P36" s="2741">
        <v>5.75</v>
      </c>
      <c r="Q36" s="2741">
        <v>5</v>
      </c>
      <c r="R36" s="2742">
        <v>4.97</v>
      </c>
    </row>
    <row r="37" spans="12:18" ht="21" x14ac:dyDescent="0.15">
      <c r="L37" s="2715">
        <v>4</v>
      </c>
      <c r="M37" s="2706" t="s">
        <v>17</v>
      </c>
      <c r="N37" s="2700">
        <v>5</v>
      </c>
      <c r="O37" s="2700">
        <v>6</v>
      </c>
      <c r="P37" s="2700">
        <v>4.25</v>
      </c>
      <c r="Q37" s="2700">
        <v>5.4</v>
      </c>
      <c r="R37" s="2716">
        <v>5.16</v>
      </c>
    </row>
    <row r="38" spans="12:18" ht="21" x14ac:dyDescent="0.15">
      <c r="L38" s="2717">
        <v>5</v>
      </c>
      <c r="M38" s="2707" t="s">
        <v>10</v>
      </c>
      <c r="N38" s="2701">
        <v>3</v>
      </c>
      <c r="O38" s="2701">
        <v>4.8</v>
      </c>
      <c r="P38" s="2701">
        <v>7.5</v>
      </c>
      <c r="Q38" s="2701">
        <v>5.4</v>
      </c>
      <c r="R38" s="2718">
        <v>5.18</v>
      </c>
    </row>
    <row r="39" spans="12:18" ht="21" x14ac:dyDescent="0.15">
      <c r="L39" s="2719">
        <v>6</v>
      </c>
      <c r="M39" s="2708" t="s">
        <v>14</v>
      </c>
      <c r="N39" s="2696">
        <v>4.67</v>
      </c>
      <c r="O39" s="2696">
        <v>6</v>
      </c>
      <c r="P39" s="2696">
        <v>3.75</v>
      </c>
      <c r="Q39" s="2696">
        <v>7.4</v>
      </c>
      <c r="R39" s="2720">
        <v>5.46</v>
      </c>
    </row>
    <row r="40" spans="12:18" ht="21" x14ac:dyDescent="0.15">
      <c r="L40" s="2721">
        <v>7</v>
      </c>
      <c r="M40" s="2709" t="s">
        <v>13</v>
      </c>
      <c r="N40" s="2702">
        <v>8.33</v>
      </c>
      <c r="O40" s="2702">
        <v>4</v>
      </c>
      <c r="P40" s="2702">
        <v>7.5</v>
      </c>
      <c r="Q40" s="2702">
        <v>3</v>
      </c>
      <c r="R40" s="2722">
        <v>5.71</v>
      </c>
    </row>
    <row r="41" spans="12:18" ht="21" x14ac:dyDescent="0.15">
      <c r="L41" s="2723">
        <v>8</v>
      </c>
      <c r="M41" s="2710" t="s">
        <v>16</v>
      </c>
      <c r="N41" s="2703">
        <v>6.67</v>
      </c>
      <c r="O41" s="2703">
        <v>6.4</v>
      </c>
      <c r="P41" s="2703">
        <v>5.75</v>
      </c>
      <c r="Q41" s="2703">
        <v>6</v>
      </c>
      <c r="R41" s="2724">
        <v>6.21</v>
      </c>
    </row>
    <row r="42" spans="12:18" ht="21" x14ac:dyDescent="0.15">
      <c r="L42" s="2725">
        <v>9</v>
      </c>
      <c r="M42" s="2711" t="s">
        <v>9</v>
      </c>
      <c r="N42" s="2704">
        <v>6.33</v>
      </c>
      <c r="O42" s="2704">
        <v>6.6</v>
      </c>
      <c r="P42" s="2704">
        <v>8</v>
      </c>
      <c r="Q42" s="2704">
        <v>4.2</v>
      </c>
      <c r="R42" s="2726">
        <v>6.28</v>
      </c>
    </row>
    <row r="43" spans="12:18" ht="21" x14ac:dyDescent="0.15">
      <c r="L43" s="2746">
        <v>10</v>
      </c>
      <c r="M43" s="2747" t="s">
        <v>15</v>
      </c>
      <c r="N43" s="2748">
        <v>6.33</v>
      </c>
      <c r="O43" s="2748">
        <v>8</v>
      </c>
      <c r="P43" s="2748">
        <v>5.5</v>
      </c>
      <c r="Q43" s="2748">
        <v>7.8</v>
      </c>
      <c r="R43" s="2749">
        <v>6.91</v>
      </c>
    </row>
  </sheetData>
  <mergeCells count="4">
    <mergeCell ref="C3:F3"/>
    <mergeCell ref="I3:L3"/>
    <mergeCell ref="L17:R17"/>
    <mergeCell ref="L31:R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60"/>
  <sheetViews>
    <sheetView showGridLines="0" tabSelected="1" topLeftCell="A2" zoomScale="150" zoomScaleNormal="150" workbookViewId="0">
      <selection activeCell="O13" sqref="O13"/>
    </sheetView>
  </sheetViews>
  <sheetFormatPr baseColWidth="10" defaultColWidth="8.83203125" defaultRowHeight="13" customHeight="1" x14ac:dyDescent="0.15"/>
  <cols>
    <col min="1" max="1" width="2.33203125" style="260" customWidth="1"/>
    <col min="2" max="2" width="2.5" style="260" customWidth="1"/>
    <col min="3" max="3" width="4" style="260" customWidth="1"/>
    <col min="4" max="4" width="9.5" style="260" customWidth="1"/>
    <col min="5" max="5" width="6.5" style="260" customWidth="1"/>
    <col min="6" max="6" width="3.5" style="260" customWidth="1"/>
    <col min="7" max="7" width="1.33203125" style="260" customWidth="1"/>
    <col min="8" max="8" width="4" style="260" customWidth="1"/>
    <col min="9" max="9" width="10.33203125" style="260" customWidth="1"/>
    <col min="10" max="10" width="6.33203125" style="260" customWidth="1"/>
    <col min="11" max="11" width="3.6640625" style="260" customWidth="1"/>
    <col min="12" max="12" width="1.33203125" style="260" customWidth="1"/>
    <col min="13" max="13" width="4" style="260" customWidth="1"/>
    <col min="14" max="14" width="11.6640625" style="260" customWidth="1"/>
    <col min="15" max="15" width="6.33203125" style="260" customWidth="1"/>
    <col min="16" max="16" width="3.6640625" style="260" customWidth="1"/>
    <col min="17" max="17" width="1.33203125" style="260" customWidth="1"/>
    <col min="18" max="18" width="4" style="260" customWidth="1"/>
    <col min="19" max="25" width="3.1640625" style="260" customWidth="1"/>
    <col min="26" max="26" width="3.6640625" style="260" customWidth="1"/>
    <col min="27" max="27" width="1.33203125" style="260" customWidth="1"/>
    <col min="28" max="28" width="4" style="260" customWidth="1"/>
    <col min="29" max="29" width="7.6640625" style="260" customWidth="1"/>
    <col min="30" max="30" width="6.6640625" style="260" customWidth="1"/>
    <col min="31" max="31" width="3.83203125" style="260" customWidth="1"/>
    <col min="32" max="33" width="1.33203125" style="1194" customWidth="1"/>
    <col min="34" max="34" width="4.1640625" style="1194" customWidth="1"/>
    <col min="35" max="35" width="4.5" style="260" customWidth="1"/>
    <col min="36" max="36" width="4" style="260" customWidth="1"/>
    <col min="37" max="37" width="5.1640625" style="260" customWidth="1"/>
    <col min="38" max="39" width="1.33203125" style="260" customWidth="1"/>
    <col min="40" max="40" width="4" style="260" customWidth="1"/>
    <col min="41" max="41" width="5.83203125" style="260" customWidth="1"/>
    <col min="42" max="45" width="5.1640625" style="260" customWidth="1"/>
    <col min="46" max="46" width="7.33203125" style="260" customWidth="1"/>
    <col min="47" max="47" width="1.6640625" style="260" customWidth="1"/>
    <col min="48" max="48" width="4.83203125" style="260" customWidth="1"/>
    <col min="49" max="49" width="7.33203125" style="260" customWidth="1"/>
    <col min="50" max="50" width="8.1640625" style="260" customWidth="1"/>
    <col min="51" max="51" width="7.33203125" style="260" customWidth="1"/>
    <col min="52" max="52" width="1.83203125" style="260" customWidth="1"/>
    <col min="53" max="53" width="10.1640625" style="260" customWidth="1"/>
    <col min="54" max="54" width="4.33203125" style="260" customWidth="1"/>
    <col min="55" max="55" width="6" style="260" customWidth="1"/>
    <col min="56" max="56" width="2.5" style="260" customWidth="1"/>
    <col min="57" max="57" width="2" style="260" customWidth="1"/>
    <col min="58" max="60" width="8.83203125" style="260" customWidth="1"/>
    <col min="61" max="61" width="3.6640625" style="260" customWidth="1"/>
    <col min="62" max="62" width="4" style="260" customWidth="1"/>
    <col min="63" max="63" width="4.33203125" style="260" customWidth="1"/>
    <col min="64" max="64" width="3.5" style="260" customWidth="1"/>
    <col min="65" max="65" width="4" style="260" customWidth="1"/>
    <col min="66" max="66" width="4.33203125" style="260" customWidth="1"/>
    <col min="67" max="67" width="3.5" style="260" customWidth="1"/>
    <col min="68" max="68" width="4" style="260" customWidth="1"/>
    <col min="69" max="69" width="4.33203125" style="260" customWidth="1"/>
    <col min="70" max="70" width="3.5" style="260" customWidth="1"/>
    <col min="71" max="71" width="4" style="260" customWidth="1"/>
    <col min="72" max="72" width="4.33203125" style="260" customWidth="1"/>
    <col min="73" max="73" width="3.83203125" style="260" customWidth="1"/>
    <col min="74" max="74" width="5" style="260" customWidth="1"/>
    <col min="75" max="75" width="4.33203125" style="260" customWidth="1"/>
    <col min="76" max="250" width="8.83203125" style="260" customWidth="1"/>
  </cols>
  <sheetData>
    <row r="1" spans="1:250" ht="15" customHeight="1" x14ac:dyDescent="0.35">
      <c r="A1" s="261"/>
      <c r="B1" s="262"/>
      <c r="C1" s="263"/>
      <c r="D1" s="264"/>
      <c r="E1" s="265"/>
      <c r="F1" s="266"/>
      <c r="G1" s="267"/>
      <c r="H1" s="268"/>
      <c r="I1" s="269"/>
      <c r="J1" s="270"/>
      <c r="K1" s="271"/>
      <c r="L1" s="272"/>
      <c r="M1" s="273"/>
      <c r="N1" s="274"/>
      <c r="O1" s="275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81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  <c r="AS1" s="262"/>
      <c r="AT1" s="262"/>
      <c r="AU1" s="262"/>
      <c r="AV1" s="262"/>
      <c r="AW1" s="262"/>
      <c r="AX1" s="262"/>
      <c r="AY1" s="262"/>
      <c r="AZ1" s="262"/>
      <c r="BA1" s="262"/>
      <c r="BB1" s="262"/>
      <c r="BC1" s="262"/>
      <c r="BD1" s="276"/>
      <c r="BE1" s="262"/>
      <c r="BF1" s="262"/>
      <c r="BG1" s="262"/>
      <c r="BH1" s="262"/>
      <c r="BI1" s="262"/>
      <c r="BJ1" s="262"/>
      <c r="BK1" s="262"/>
      <c r="BL1" s="262"/>
      <c r="BM1" s="262"/>
      <c r="BN1" s="262"/>
      <c r="BO1" s="262"/>
      <c r="BP1" s="262"/>
      <c r="BQ1" s="262"/>
      <c r="BR1" s="262"/>
      <c r="BS1" s="262"/>
      <c r="BT1" s="262"/>
      <c r="BU1" s="262"/>
      <c r="BV1" s="262"/>
      <c r="BW1" s="262"/>
      <c r="BX1" s="262"/>
      <c r="BY1" s="262"/>
      <c r="BZ1" s="262"/>
      <c r="CA1" s="262"/>
      <c r="CB1" s="262"/>
      <c r="CC1" s="262"/>
      <c r="CD1" s="262"/>
      <c r="CE1" s="262"/>
      <c r="CF1" s="262"/>
      <c r="CG1" s="262"/>
      <c r="CH1" s="262"/>
      <c r="CI1" s="262"/>
      <c r="CJ1" s="262"/>
      <c r="CK1" s="262"/>
      <c r="CL1" s="262"/>
      <c r="CM1" s="262"/>
      <c r="CN1" s="262"/>
      <c r="CO1" s="262"/>
      <c r="CP1" s="262"/>
      <c r="CQ1" s="262"/>
      <c r="CR1" s="262"/>
      <c r="CS1" s="262"/>
      <c r="CT1" s="262"/>
      <c r="CU1" s="262"/>
      <c r="CV1" s="262"/>
      <c r="CW1" s="262"/>
      <c r="CX1" s="262"/>
      <c r="CY1" s="262"/>
      <c r="CZ1" s="262"/>
      <c r="DA1" s="262"/>
      <c r="DB1" s="262"/>
      <c r="DC1" s="262"/>
      <c r="DD1" s="262"/>
      <c r="DE1" s="262"/>
      <c r="DF1" s="262"/>
      <c r="DG1" s="262"/>
      <c r="DH1" s="262"/>
      <c r="DI1" s="262"/>
      <c r="DJ1" s="262"/>
      <c r="DK1" s="262"/>
      <c r="DL1" s="262"/>
      <c r="DM1" s="262"/>
      <c r="DN1" s="262"/>
      <c r="DO1" s="262"/>
      <c r="DP1" s="262"/>
      <c r="DQ1" s="262"/>
      <c r="DR1" s="262"/>
      <c r="DS1" s="262"/>
      <c r="DT1" s="262"/>
      <c r="DU1" s="262"/>
      <c r="DV1" s="262"/>
      <c r="DW1" s="262"/>
      <c r="DX1" s="262"/>
      <c r="DY1" s="262"/>
      <c r="DZ1" s="262"/>
      <c r="EA1" s="262"/>
      <c r="EB1" s="262"/>
      <c r="EC1" s="262"/>
      <c r="ED1" s="262"/>
      <c r="EE1" s="262"/>
      <c r="EF1" s="262"/>
      <c r="EG1" s="262"/>
      <c r="EH1" s="262"/>
      <c r="EI1" s="262"/>
      <c r="EJ1" s="262"/>
      <c r="EK1" s="262"/>
      <c r="EL1" s="262"/>
      <c r="EM1" s="262"/>
      <c r="EN1" s="262"/>
      <c r="EO1" s="262"/>
      <c r="EP1" s="262"/>
      <c r="EQ1" s="262"/>
      <c r="ER1" s="262"/>
      <c r="ES1" s="262"/>
      <c r="ET1" s="262"/>
      <c r="EU1" s="262"/>
      <c r="EV1" s="262"/>
      <c r="EW1" s="262"/>
      <c r="EX1" s="262"/>
      <c r="EY1" s="262"/>
      <c r="EZ1" s="262"/>
      <c r="FA1" s="262"/>
      <c r="FB1" s="262"/>
      <c r="FC1" s="262"/>
      <c r="FD1" s="262"/>
      <c r="FE1" s="262"/>
      <c r="FF1" s="262"/>
      <c r="FG1" s="262"/>
      <c r="FH1" s="262"/>
      <c r="FI1" s="262"/>
      <c r="FJ1" s="262"/>
      <c r="FK1" s="262"/>
      <c r="FL1" s="262"/>
      <c r="FM1" s="262"/>
      <c r="FN1" s="262"/>
      <c r="FO1" s="262"/>
      <c r="FP1" s="262"/>
      <c r="FQ1" s="262"/>
      <c r="FR1" s="262"/>
      <c r="FS1" s="262"/>
      <c r="FT1" s="262"/>
      <c r="FU1" s="262"/>
      <c r="FV1" s="262"/>
      <c r="FW1" s="262"/>
      <c r="FX1" s="262"/>
      <c r="FY1" s="262"/>
      <c r="FZ1" s="262"/>
      <c r="GA1" s="262"/>
      <c r="GB1" s="262"/>
      <c r="GC1" s="262"/>
      <c r="GD1" s="262"/>
      <c r="GE1" s="262"/>
      <c r="GF1" s="262"/>
      <c r="GG1" s="262"/>
      <c r="GH1" s="262"/>
      <c r="GI1" s="262"/>
      <c r="GJ1" s="262"/>
      <c r="GK1" s="262"/>
      <c r="GL1" s="262"/>
      <c r="GM1" s="262"/>
      <c r="GN1" s="262"/>
      <c r="GO1" s="262"/>
      <c r="GP1" s="262"/>
      <c r="GQ1" s="262"/>
      <c r="GR1" s="262"/>
      <c r="GS1" s="262"/>
      <c r="GT1" s="262"/>
      <c r="GU1" s="262"/>
      <c r="GV1" s="262"/>
      <c r="GW1" s="262"/>
      <c r="GX1" s="262"/>
      <c r="GY1" s="262"/>
      <c r="GZ1" s="262"/>
      <c r="HA1" s="262"/>
      <c r="HB1" s="262"/>
      <c r="HC1" s="262"/>
      <c r="HD1" s="262"/>
      <c r="HE1" s="262"/>
      <c r="HF1" s="262"/>
      <c r="HG1" s="262"/>
      <c r="HH1" s="262"/>
      <c r="HI1" s="262"/>
      <c r="HJ1" s="262"/>
      <c r="HK1" s="262"/>
      <c r="HL1" s="262"/>
      <c r="HM1" s="262"/>
      <c r="HN1" s="262"/>
      <c r="HO1" s="262"/>
      <c r="HP1" s="262"/>
      <c r="HQ1" s="262"/>
      <c r="HR1" s="262"/>
      <c r="HS1" s="262"/>
      <c r="HT1" s="262"/>
      <c r="HU1" s="262"/>
      <c r="HV1" s="262"/>
      <c r="HW1" s="262"/>
      <c r="HX1" s="262"/>
      <c r="HY1" s="262"/>
      <c r="HZ1" s="262"/>
      <c r="IA1" s="262"/>
      <c r="IB1" s="262"/>
      <c r="IC1" s="262"/>
      <c r="ID1" s="262"/>
      <c r="IE1" s="262"/>
      <c r="IF1" s="262"/>
      <c r="IG1" s="262"/>
      <c r="IH1" s="262"/>
      <c r="II1" s="262"/>
      <c r="IJ1" s="262"/>
      <c r="IK1" s="262"/>
      <c r="IL1" s="262"/>
      <c r="IM1" s="262"/>
      <c r="IN1" s="262"/>
      <c r="IO1" s="262"/>
      <c r="IP1" s="277"/>
    </row>
    <row r="2" spans="1:250" ht="20" customHeight="1" x14ac:dyDescent="0.15">
      <c r="A2" s="278"/>
      <c r="B2" s="279"/>
      <c r="C2" s="280"/>
      <c r="D2" s="280"/>
      <c r="E2" s="280"/>
      <c r="F2" s="280"/>
      <c r="G2" s="281"/>
      <c r="H2" s="280"/>
      <c r="I2" s="280"/>
      <c r="J2" s="280"/>
      <c r="K2" s="280"/>
      <c r="L2" s="281"/>
      <c r="M2" s="280"/>
      <c r="N2" s="280"/>
      <c r="O2" s="280"/>
      <c r="P2" s="280"/>
      <c r="Q2" s="281"/>
      <c r="R2" s="280"/>
      <c r="S2" s="280"/>
      <c r="T2" s="280"/>
      <c r="U2" s="280"/>
      <c r="V2" s="280"/>
      <c r="W2" s="280"/>
      <c r="X2" s="280"/>
      <c r="Y2" s="280"/>
      <c r="Z2" s="280"/>
      <c r="AA2" s="281"/>
      <c r="AB2" s="280"/>
      <c r="AC2" s="280"/>
      <c r="AD2" s="280"/>
      <c r="AE2" s="280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1"/>
      <c r="AR2" s="281"/>
      <c r="AS2" s="281"/>
      <c r="AT2" s="281"/>
      <c r="AU2" s="281"/>
      <c r="AV2" s="281"/>
      <c r="AW2" s="281"/>
      <c r="AX2" s="281"/>
      <c r="AY2" s="281"/>
      <c r="AZ2" s="281"/>
      <c r="BA2" s="281"/>
      <c r="BB2" s="281"/>
      <c r="BC2" s="281"/>
      <c r="BD2" s="281"/>
      <c r="BE2" s="281"/>
      <c r="BF2" s="281"/>
      <c r="BG2" s="281"/>
      <c r="BH2" s="281"/>
      <c r="BI2" s="280"/>
      <c r="BJ2" s="280"/>
      <c r="BK2" s="280"/>
      <c r="BL2" s="280"/>
      <c r="BM2" s="280"/>
      <c r="BN2" s="280"/>
      <c r="BO2" s="280"/>
      <c r="BP2" s="280"/>
      <c r="BQ2" s="280"/>
      <c r="BR2" s="280"/>
      <c r="BS2" s="280"/>
      <c r="BT2" s="280"/>
      <c r="BU2" s="280"/>
      <c r="BV2" s="280"/>
      <c r="BW2" s="280"/>
      <c r="BX2" s="281"/>
      <c r="BY2" s="281"/>
      <c r="BZ2" s="281"/>
      <c r="CA2" s="281"/>
      <c r="CB2" s="281"/>
      <c r="CC2" s="281"/>
      <c r="CD2" s="281"/>
      <c r="CE2" s="281"/>
      <c r="CF2" s="281"/>
      <c r="CG2" s="281"/>
      <c r="CH2" s="281"/>
      <c r="CI2" s="281"/>
      <c r="CJ2" s="281"/>
      <c r="CK2" s="281"/>
      <c r="CL2" s="281"/>
      <c r="CM2" s="281"/>
      <c r="CN2" s="281"/>
      <c r="CO2" s="281"/>
      <c r="CP2" s="281"/>
      <c r="CQ2" s="281"/>
      <c r="CR2" s="281"/>
      <c r="CS2" s="281"/>
      <c r="CT2" s="281"/>
      <c r="CU2" s="281"/>
      <c r="CV2" s="281"/>
      <c r="CW2" s="281"/>
      <c r="CX2" s="281"/>
      <c r="CY2" s="281"/>
      <c r="CZ2" s="281"/>
      <c r="DA2" s="281"/>
      <c r="DB2" s="281"/>
      <c r="DC2" s="281"/>
      <c r="DD2" s="281"/>
      <c r="DE2" s="281"/>
      <c r="DF2" s="281"/>
      <c r="DG2" s="281"/>
      <c r="DH2" s="281"/>
      <c r="DI2" s="281"/>
      <c r="DJ2" s="281"/>
      <c r="DK2" s="281"/>
      <c r="DL2" s="281"/>
      <c r="DM2" s="281"/>
      <c r="DN2" s="281"/>
      <c r="DO2" s="281"/>
      <c r="DP2" s="281"/>
      <c r="DQ2" s="281"/>
      <c r="DR2" s="281"/>
      <c r="DS2" s="281"/>
      <c r="DT2" s="281"/>
      <c r="DU2" s="281"/>
      <c r="DV2" s="281"/>
      <c r="DW2" s="281"/>
      <c r="DX2" s="281"/>
      <c r="DY2" s="281"/>
      <c r="DZ2" s="281"/>
      <c r="EA2" s="281"/>
      <c r="EB2" s="281"/>
      <c r="EC2" s="281"/>
      <c r="ED2" s="281"/>
      <c r="EE2" s="281"/>
      <c r="EF2" s="281"/>
      <c r="EG2" s="281"/>
      <c r="EH2" s="281"/>
      <c r="EI2" s="281"/>
      <c r="EJ2" s="281"/>
      <c r="EK2" s="281"/>
      <c r="EL2" s="281"/>
      <c r="EM2" s="281"/>
      <c r="EN2" s="281"/>
      <c r="EO2" s="281"/>
      <c r="EP2" s="281"/>
      <c r="EQ2" s="281"/>
      <c r="ER2" s="281"/>
      <c r="ES2" s="281"/>
      <c r="ET2" s="281"/>
      <c r="EU2" s="281"/>
      <c r="EV2" s="281"/>
      <c r="EW2" s="281"/>
      <c r="EX2" s="281"/>
      <c r="EY2" s="281"/>
      <c r="EZ2" s="281"/>
      <c r="FA2" s="281"/>
      <c r="FB2" s="281"/>
      <c r="FC2" s="281"/>
      <c r="FD2" s="281"/>
      <c r="FE2" s="281"/>
      <c r="FF2" s="281"/>
      <c r="FG2" s="281"/>
      <c r="FH2" s="281"/>
      <c r="FI2" s="281"/>
      <c r="FJ2" s="281"/>
      <c r="FK2" s="281"/>
      <c r="FL2" s="281"/>
      <c r="FM2" s="281"/>
      <c r="FN2" s="281"/>
      <c r="FO2" s="281"/>
      <c r="FP2" s="281"/>
      <c r="FQ2" s="281"/>
      <c r="FR2" s="281"/>
      <c r="FS2" s="281"/>
      <c r="FT2" s="281"/>
      <c r="FU2" s="281"/>
      <c r="FV2" s="281"/>
      <c r="FW2" s="281"/>
      <c r="FX2" s="281"/>
      <c r="FY2" s="281"/>
      <c r="FZ2" s="281"/>
      <c r="GA2" s="281"/>
      <c r="GB2" s="281"/>
      <c r="GC2" s="281"/>
      <c r="GD2" s="281"/>
      <c r="GE2" s="281"/>
      <c r="GF2" s="281"/>
      <c r="GG2" s="281"/>
      <c r="GH2" s="281"/>
      <c r="GI2" s="281"/>
      <c r="GJ2" s="281"/>
      <c r="GK2" s="281"/>
      <c r="GL2" s="281"/>
      <c r="GM2" s="281"/>
      <c r="GN2" s="281"/>
      <c r="GO2" s="281"/>
      <c r="GP2" s="281"/>
      <c r="GQ2" s="281"/>
      <c r="GR2" s="281"/>
      <c r="GS2" s="281"/>
      <c r="GT2" s="281"/>
      <c r="GU2" s="281"/>
      <c r="GV2" s="281"/>
      <c r="GW2" s="281"/>
      <c r="GX2" s="281"/>
      <c r="GY2" s="281"/>
      <c r="GZ2" s="281"/>
      <c r="HA2" s="281"/>
      <c r="HB2" s="281"/>
      <c r="HC2" s="281"/>
      <c r="HD2" s="281"/>
      <c r="HE2" s="281"/>
      <c r="HF2" s="281"/>
      <c r="HG2" s="281"/>
      <c r="HH2" s="281"/>
      <c r="HI2" s="281"/>
      <c r="HJ2" s="281"/>
      <c r="HK2" s="281"/>
      <c r="HL2" s="281"/>
      <c r="HM2" s="281"/>
      <c r="HN2" s="281"/>
      <c r="HO2" s="281"/>
      <c r="HP2" s="281"/>
      <c r="HQ2" s="281"/>
      <c r="HR2" s="281"/>
      <c r="HS2" s="281"/>
      <c r="HT2" s="281"/>
      <c r="HU2" s="281"/>
      <c r="HV2" s="281"/>
      <c r="HW2" s="281"/>
      <c r="HX2" s="281"/>
      <c r="HY2" s="281"/>
      <c r="HZ2" s="281"/>
      <c r="IA2" s="281"/>
      <c r="IB2" s="281"/>
      <c r="IC2" s="281"/>
      <c r="ID2" s="281"/>
      <c r="IE2" s="281"/>
      <c r="IF2" s="281"/>
      <c r="IG2" s="281"/>
      <c r="IH2" s="281"/>
      <c r="II2" s="281"/>
      <c r="IJ2" s="281"/>
      <c r="IK2" s="281"/>
      <c r="IL2" s="281"/>
      <c r="IM2" s="281"/>
      <c r="IN2" s="281"/>
      <c r="IO2" s="281"/>
      <c r="IP2" s="282"/>
    </row>
    <row r="3" spans="1:250" ht="20" customHeight="1" x14ac:dyDescent="0.15">
      <c r="A3" s="283"/>
      <c r="B3" s="284"/>
      <c r="C3" s="285">
        <v>1</v>
      </c>
      <c r="D3" s="286" t="s">
        <v>139</v>
      </c>
      <c r="E3" s="286" t="s">
        <v>140</v>
      </c>
      <c r="F3" s="287" t="s">
        <v>40</v>
      </c>
      <c r="G3" s="288"/>
      <c r="H3" s="285">
        <v>2</v>
      </c>
      <c r="I3" s="286" t="s">
        <v>141</v>
      </c>
      <c r="J3" s="286" t="s">
        <v>410</v>
      </c>
      <c r="K3" s="287" t="s">
        <v>40</v>
      </c>
      <c r="L3" s="288"/>
      <c r="M3" s="289"/>
      <c r="N3" s="286" t="s">
        <v>375</v>
      </c>
      <c r="O3" s="290" t="s">
        <v>142</v>
      </c>
      <c r="P3" s="287" t="s">
        <v>40</v>
      </c>
      <c r="Q3" s="288"/>
      <c r="R3" s="285">
        <v>4</v>
      </c>
      <c r="S3" s="291" t="s">
        <v>143</v>
      </c>
      <c r="T3" s="292" t="s">
        <v>144</v>
      </c>
      <c r="U3" s="293" t="s">
        <v>58</v>
      </c>
      <c r="V3" s="292" t="s">
        <v>145</v>
      </c>
      <c r="W3" s="293" t="s">
        <v>146</v>
      </c>
      <c r="X3" s="292" t="s">
        <v>147</v>
      </c>
      <c r="Y3" s="294" t="s">
        <v>72</v>
      </c>
      <c r="Z3" s="287" t="s">
        <v>40</v>
      </c>
      <c r="AA3" s="288"/>
      <c r="AB3" s="285">
        <v>5</v>
      </c>
      <c r="AC3" s="290" t="s">
        <v>28</v>
      </c>
      <c r="AD3" s="295" t="s">
        <v>142</v>
      </c>
      <c r="AE3" s="296" t="s">
        <v>40</v>
      </c>
      <c r="AF3" s="301"/>
      <c r="AG3" s="299"/>
      <c r="AH3" s="1741" t="s">
        <v>74</v>
      </c>
      <c r="AI3" s="1742" t="s">
        <v>45</v>
      </c>
      <c r="AJ3" s="1743" t="s">
        <v>148</v>
      </c>
      <c r="AK3" s="1744" t="s">
        <v>149</v>
      </c>
      <c r="AL3" s="299"/>
      <c r="AM3" s="299"/>
      <c r="AN3" s="40"/>
      <c r="AO3" s="281"/>
      <c r="AP3" s="281"/>
      <c r="AQ3" s="281"/>
      <c r="AR3" s="281"/>
      <c r="AS3" s="281"/>
      <c r="AT3" s="281"/>
      <c r="AU3" s="281"/>
      <c r="AV3" s="23"/>
      <c r="AW3" s="281"/>
      <c r="AX3" s="281"/>
      <c r="AY3" s="281"/>
      <c r="AZ3" s="281"/>
      <c r="BA3" s="281"/>
      <c r="BB3" s="23"/>
      <c r="BC3" s="40"/>
      <c r="BD3" s="281"/>
      <c r="BE3" s="281"/>
      <c r="BF3" s="281"/>
      <c r="BG3" s="281"/>
      <c r="BH3" s="284"/>
      <c r="BI3" s="297" t="s">
        <v>58</v>
      </c>
      <c r="BJ3" s="286" t="s">
        <v>53</v>
      </c>
      <c r="BK3" s="300" t="s">
        <v>150</v>
      </c>
      <c r="BL3" s="297" t="s">
        <v>58</v>
      </c>
      <c r="BM3" s="286" t="s">
        <v>53</v>
      </c>
      <c r="BN3" s="300" t="s">
        <v>150</v>
      </c>
      <c r="BO3" s="297" t="s">
        <v>58</v>
      </c>
      <c r="BP3" s="286" t="s">
        <v>53</v>
      </c>
      <c r="BQ3" s="300" t="s">
        <v>150</v>
      </c>
      <c r="BR3" s="297" t="s">
        <v>58</v>
      </c>
      <c r="BS3" s="286" t="s">
        <v>53</v>
      </c>
      <c r="BT3" s="300" t="s">
        <v>150</v>
      </c>
      <c r="BU3" s="297" t="s">
        <v>58</v>
      </c>
      <c r="BV3" s="286" t="s">
        <v>53</v>
      </c>
      <c r="BW3" s="300" t="s">
        <v>151</v>
      </c>
      <c r="BX3" s="301"/>
      <c r="BY3" s="281"/>
      <c r="BZ3" s="281"/>
      <c r="CA3" s="281"/>
      <c r="CB3" s="281"/>
      <c r="CC3" s="281"/>
      <c r="CD3" s="281"/>
      <c r="CE3" s="281"/>
      <c r="CF3" s="281"/>
      <c r="CG3" s="281"/>
      <c r="CH3" s="281"/>
      <c r="CI3" s="281"/>
      <c r="CJ3" s="281"/>
      <c r="CK3" s="281"/>
      <c r="CL3" s="281"/>
      <c r="CM3" s="281"/>
      <c r="CN3" s="281"/>
      <c r="CO3" s="281"/>
      <c r="CP3" s="281"/>
      <c r="CQ3" s="281"/>
      <c r="CR3" s="281"/>
      <c r="CS3" s="281"/>
      <c r="CT3" s="281"/>
      <c r="CU3" s="281"/>
      <c r="CV3" s="281"/>
      <c r="CW3" s="281"/>
      <c r="CX3" s="281"/>
      <c r="CY3" s="281"/>
      <c r="CZ3" s="281"/>
      <c r="DA3" s="281"/>
      <c r="DB3" s="281"/>
      <c r="DC3" s="281"/>
      <c r="DD3" s="281"/>
      <c r="DE3" s="281"/>
      <c r="DF3" s="281"/>
      <c r="DG3" s="281"/>
      <c r="DH3" s="281"/>
      <c r="DI3" s="281"/>
      <c r="DJ3" s="281"/>
      <c r="DK3" s="281"/>
      <c r="DL3" s="281"/>
      <c r="DM3" s="281"/>
      <c r="DN3" s="281"/>
      <c r="DO3" s="281"/>
      <c r="DP3" s="281"/>
      <c r="DQ3" s="281"/>
      <c r="DR3" s="281"/>
      <c r="DS3" s="281"/>
      <c r="DT3" s="281"/>
      <c r="DU3" s="281"/>
      <c r="DV3" s="281"/>
      <c r="DW3" s="281"/>
      <c r="DX3" s="281"/>
      <c r="DY3" s="281"/>
      <c r="DZ3" s="281"/>
      <c r="EA3" s="281"/>
      <c r="EB3" s="281"/>
      <c r="EC3" s="281"/>
      <c r="ED3" s="281"/>
      <c r="EE3" s="281"/>
      <c r="EF3" s="281"/>
      <c r="EG3" s="281"/>
      <c r="EH3" s="281"/>
      <c r="EI3" s="281"/>
      <c r="EJ3" s="281"/>
      <c r="EK3" s="281"/>
      <c r="EL3" s="281"/>
      <c r="EM3" s="281"/>
      <c r="EN3" s="281"/>
      <c r="EO3" s="281"/>
      <c r="EP3" s="281"/>
      <c r="EQ3" s="281"/>
      <c r="ER3" s="281"/>
      <c r="ES3" s="281"/>
      <c r="ET3" s="281"/>
      <c r="EU3" s="281"/>
      <c r="EV3" s="281"/>
      <c r="EW3" s="281"/>
      <c r="EX3" s="281"/>
      <c r="EY3" s="281"/>
      <c r="EZ3" s="281"/>
      <c r="FA3" s="281"/>
      <c r="FB3" s="281"/>
      <c r="FC3" s="281"/>
      <c r="FD3" s="281"/>
      <c r="FE3" s="281"/>
      <c r="FF3" s="281"/>
      <c r="FG3" s="281"/>
      <c r="FH3" s="281"/>
      <c r="FI3" s="281"/>
      <c r="FJ3" s="281"/>
      <c r="FK3" s="281"/>
      <c r="FL3" s="281"/>
      <c r="FM3" s="281"/>
      <c r="FN3" s="281"/>
      <c r="FO3" s="281"/>
      <c r="FP3" s="281"/>
      <c r="FQ3" s="281"/>
      <c r="FR3" s="281"/>
      <c r="FS3" s="281"/>
      <c r="FT3" s="281"/>
      <c r="FU3" s="281"/>
      <c r="FV3" s="281"/>
      <c r="FW3" s="281"/>
      <c r="FX3" s="281"/>
      <c r="FY3" s="281"/>
      <c r="FZ3" s="281"/>
      <c r="GA3" s="281"/>
      <c r="GB3" s="281"/>
      <c r="GC3" s="281"/>
      <c r="GD3" s="281"/>
      <c r="GE3" s="281"/>
      <c r="GF3" s="281"/>
      <c r="GG3" s="281"/>
      <c r="GH3" s="281"/>
      <c r="GI3" s="281"/>
      <c r="GJ3" s="281"/>
      <c r="GK3" s="281"/>
      <c r="GL3" s="281"/>
      <c r="GM3" s="281"/>
      <c r="GN3" s="281"/>
      <c r="GO3" s="281"/>
      <c r="GP3" s="281"/>
      <c r="GQ3" s="281"/>
      <c r="GR3" s="281"/>
      <c r="GS3" s="281"/>
      <c r="GT3" s="281"/>
      <c r="GU3" s="281"/>
      <c r="GV3" s="281"/>
      <c r="GW3" s="281"/>
      <c r="GX3" s="281"/>
      <c r="GY3" s="281"/>
      <c r="GZ3" s="281"/>
      <c r="HA3" s="281"/>
      <c r="HB3" s="281"/>
      <c r="HC3" s="281"/>
      <c r="HD3" s="281"/>
      <c r="HE3" s="281"/>
      <c r="HF3" s="281"/>
      <c r="HG3" s="281"/>
      <c r="HH3" s="281"/>
      <c r="HI3" s="281"/>
      <c r="HJ3" s="281"/>
      <c r="HK3" s="281"/>
      <c r="HL3" s="281"/>
      <c r="HM3" s="281"/>
      <c r="HN3" s="281"/>
      <c r="HO3" s="281"/>
      <c r="HP3" s="281"/>
      <c r="HQ3" s="281"/>
      <c r="HR3" s="281"/>
      <c r="HS3" s="281"/>
      <c r="HT3" s="281"/>
      <c r="HU3" s="281"/>
      <c r="HV3" s="281"/>
      <c r="HW3" s="281"/>
      <c r="HX3" s="281"/>
      <c r="HY3" s="281"/>
      <c r="HZ3" s="281"/>
      <c r="IA3" s="281"/>
      <c r="IB3" s="281"/>
      <c r="IC3" s="281"/>
      <c r="ID3" s="281"/>
      <c r="IE3" s="281"/>
      <c r="IF3" s="281"/>
      <c r="IG3" s="281"/>
      <c r="IH3" s="281"/>
      <c r="II3" s="281"/>
      <c r="IJ3" s="281"/>
      <c r="IK3" s="281"/>
      <c r="IL3" s="281"/>
      <c r="IM3" s="281"/>
      <c r="IN3" s="281"/>
      <c r="IO3" s="281"/>
      <c r="IP3" s="282"/>
    </row>
    <row r="4" spans="1:250" ht="21" customHeight="1" x14ac:dyDescent="0.15">
      <c r="A4" s="283"/>
      <c r="B4" s="284"/>
      <c r="C4" s="413" t="s">
        <v>16</v>
      </c>
      <c r="D4" s="2669">
        <v>13.167664813000002</v>
      </c>
      <c r="E4" s="414">
        <f>100-((D4*100)/100)</f>
        <v>86.832335186999998</v>
      </c>
      <c r="F4" s="415">
        <v>1</v>
      </c>
      <c r="G4" s="288"/>
      <c r="H4" s="307" t="s">
        <v>15</v>
      </c>
      <c r="I4" s="1726">
        <f>Données!D49</f>
        <v>43.645407062063001</v>
      </c>
      <c r="J4" s="362">
        <f>100-(((44-I4)*100)/100)</f>
        <v>99.645407062063001</v>
      </c>
      <c r="K4" s="363">
        <v>1</v>
      </c>
      <c r="L4" s="288"/>
      <c r="M4" s="338" t="s">
        <v>18</v>
      </c>
      <c r="N4" s="1035">
        <f>'H Topo'!L3</f>
        <v>30.698360483142999</v>
      </c>
      <c r="O4" s="339">
        <f>'H Topo'!L4</f>
        <v>8.9963624185966911</v>
      </c>
      <c r="P4" s="340">
        <v>1</v>
      </c>
      <c r="Q4" s="288"/>
      <c r="R4" s="313" t="s">
        <v>10</v>
      </c>
      <c r="S4" s="547">
        <f>'H Topo'!D11</f>
        <v>5</v>
      </c>
      <c r="T4" s="547">
        <f>'H Topo'!D12</f>
        <v>0</v>
      </c>
      <c r="U4" s="547">
        <f>'H Topo'!D13</f>
        <v>1</v>
      </c>
      <c r="V4" s="547">
        <f>'H Topo'!D14</f>
        <v>1</v>
      </c>
      <c r="W4" s="547">
        <f>'H Topo'!D15</f>
        <v>0</v>
      </c>
      <c r="X4" s="547">
        <f>'H Topo'!D16</f>
        <v>2</v>
      </c>
      <c r="Y4" s="547">
        <f>'H Topo'!D17</f>
        <v>0</v>
      </c>
      <c r="Z4" s="467">
        <f>'H Topo'!D19</f>
        <v>1</v>
      </c>
      <c r="AA4" s="312"/>
      <c r="AB4" s="332" t="s">
        <v>9</v>
      </c>
      <c r="AC4" s="369">
        <f>'H Topo'!C8</f>
        <v>-10.44</v>
      </c>
      <c r="AD4" s="370">
        <f>'H Topo'!C9</f>
        <v>8.4575163398692794</v>
      </c>
      <c r="AE4" s="371">
        <v>1</v>
      </c>
      <c r="AF4" s="301"/>
      <c r="AG4" s="319"/>
      <c r="AH4" s="2091">
        <v>1</v>
      </c>
      <c r="AI4" s="422" t="s">
        <v>18</v>
      </c>
      <c r="AJ4" s="423">
        <v>17</v>
      </c>
      <c r="AK4" s="1746">
        <f t="shared" ref="AK4:AK13" si="0">AJ4/5</f>
        <v>3.4</v>
      </c>
      <c r="AL4" s="319"/>
      <c r="AM4" s="319"/>
      <c r="AN4" s="40"/>
      <c r="AO4" s="281"/>
      <c r="AP4" s="281"/>
      <c r="AQ4" s="281"/>
      <c r="AR4" s="281"/>
      <c r="AS4" s="281"/>
      <c r="AT4" s="281"/>
      <c r="AU4" s="281"/>
      <c r="AV4" s="281"/>
      <c r="AW4" s="281"/>
      <c r="AX4" s="281"/>
      <c r="AY4" s="281"/>
      <c r="AZ4" s="281"/>
      <c r="BA4" s="281"/>
      <c r="BB4" s="320"/>
      <c r="BC4" s="40"/>
      <c r="BD4" s="281"/>
      <c r="BE4" s="281"/>
      <c r="BF4" s="281"/>
      <c r="BG4" s="281"/>
      <c r="BH4" s="284"/>
      <c r="BI4" s="321"/>
      <c r="BJ4" s="87"/>
      <c r="BK4" s="322"/>
      <c r="BL4" s="323"/>
      <c r="BM4" s="324"/>
      <c r="BN4" s="325"/>
      <c r="BO4" s="326"/>
      <c r="BP4" s="327"/>
      <c r="BQ4" s="328"/>
      <c r="BR4" s="326"/>
      <c r="BS4" s="327"/>
      <c r="BT4" s="328"/>
      <c r="BU4" s="329"/>
      <c r="BV4" s="330"/>
      <c r="BW4" s="331"/>
      <c r="BX4" s="301"/>
      <c r="BY4" s="281"/>
      <c r="BZ4" s="281"/>
      <c r="CA4" s="281"/>
      <c r="CB4" s="281"/>
      <c r="CC4" s="281"/>
      <c r="CD4" s="281"/>
      <c r="CE4" s="281"/>
      <c r="CF4" s="281"/>
      <c r="CG4" s="281"/>
      <c r="CH4" s="281"/>
      <c r="CI4" s="281"/>
      <c r="CJ4" s="281"/>
      <c r="CK4" s="281"/>
      <c r="CL4" s="281"/>
      <c r="CM4" s="281"/>
      <c r="CN4" s="281"/>
      <c r="CO4" s="281"/>
      <c r="CP4" s="281"/>
      <c r="CQ4" s="281"/>
      <c r="CR4" s="281"/>
      <c r="CS4" s="281"/>
      <c r="CT4" s="281"/>
      <c r="CU4" s="281"/>
      <c r="CV4" s="281"/>
      <c r="CW4" s="281"/>
      <c r="CX4" s="281"/>
      <c r="CY4" s="281"/>
      <c r="CZ4" s="281"/>
      <c r="DA4" s="281"/>
      <c r="DB4" s="281"/>
      <c r="DC4" s="281"/>
      <c r="DD4" s="281"/>
      <c r="DE4" s="281"/>
      <c r="DF4" s="281"/>
      <c r="DG4" s="281"/>
      <c r="DH4" s="281"/>
      <c r="DI4" s="281"/>
      <c r="DJ4" s="281"/>
      <c r="DK4" s="281"/>
      <c r="DL4" s="281"/>
      <c r="DM4" s="281"/>
      <c r="DN4" s="281"/>
      <c r="DO4" s="281"/>
      <c r="DP4" s="281"/>
      <c r="DQ4" s="281"/>
      <c r="DR4" s="281"/>
      <c r="DS4" s="281"/>
      <c r="DT4" s="281"/>
      <c r="DU4" s="281"/>
      <c r="DV4" s="281"/>
      <c r="DW4" s="281"/>
      <c r="DX4" s="281"/>
      <c r="DY4" s="281"/>
      <c r="DZ4" s="281"/>
      <c r="EA4" s="281"/>
      <c r="EB4" s="281"/>
      <c r="EC4" s="281"/>
      <c r="ED4" s="281"/>
      <c r="EE4" s="281"/>
      <c r="EF4" s="281"/>
      <c r="EG4" s="281"/>
      <c r="EH4" s="281"/>
      <c r="EI4" s="281"/>
      <c r="EJ4" s="281"/>
      <c r="EK4" s="281"/>
      <c r="EL4" s="281"/>
      <c r="EM4" s="281"/>
      <c r="EN4" s="281"/>
      <c r="EO4" s="281"/>
      <c r="EP4" s="281"/>
      <c r="EQ4" s="281"/>
      <c r="ER4" s="281"/>
      <c r="ES4" s="281"/>
      <c r="ET4" s="281"/>
      <c r="EU4" s="281"/>
      <c r="EV4" s="281"/>
      <c r="EW4" s="281"/>
      <c r="EX4" s="281"/>
      <c r="EY4" s="281"/>
      <c r="EZ4" s="281"/>
      <c r="FA4" s="281"/>
      <c r="FB4" s="281"/>
      <c r="FC4" s="281"/>
      <c r="FD4" s="281"/>
      <c r="FE4" s="281"/>
      <c r="FF4" s="281"/>
      <c r="FG4" s="281"/>
      <c r="FH4" s="281"/>
      <c r="FI4" s="281"/>
      <c r="FJ4" s="281"/>
      <c r="FK4" s="281"/>
      <c r="FL4" s="281"/>
      <c r="FM4" s="281"/>
      <c r="FN4" s="281"/>
      <c r="FO4" s="281"/>
      <c r="FP4" s="281"/>
      <c r="FQ4" s="281"/>
      <c r="FR4" s="281"/>
      <c r="FS4" s="281"/>
      <c r="FT4" s="281"/>
      <c r="FU4" s="281"/>
      <c r="FV4" s="281"/>
      <c r="FW4" s="281"/>
      <c r="FX4" s="281"/>
      <c r="FY4" s="281"/>
      <c r="FZ4" s="281"/>
      <c r="GA4" s="281"/>
      <c r="GB4" s="281"/>
      <c r="GC4" s="281"/>
      <c r="GD4" s="281"/>
      <c r="GE4" s="281"/>
      <c r="GF4" s="281"/>
      <c r="GG4" s="281"/>
      <c r="GH4" s="281"/>
      <c r="GI4" s="281"/>
      <c r="GJ4" s="281"/>
      <c r="GK4" s="281"/>
      <c r="GL4" s="281"/>
      <c r="GM4" s="281"/>
      <c r="GN4" s="281"/>
      <c r="GO4" s="281"/>
      <c r="GP4" s="281"/>
      <c r="GQ4" s="281"/>
      <c r="GR4" s="281"/>
      <c r="GS4" s="281"/>
      <c r="GT4" s="281"/>
      <c r="GU4" s="281"/>
      <c r="GV4" s="281"/>
      <c r="GW4" s="281"/>
      <c r="GX4" s="281"/>
      <c r="GY4" s="281"/>
      <c r="GZ4" s="281"/>
      <c r="HA4" s="281"/>
      <c r="HB4" s="281"/>
      <c r="HC4" s="281"/>
      <c r="HD4" s="281"/>
      <c r="HE4" s="281"/>
      <c r="HF4" s="281"/>
      <c r="HG4" s="281"/>
      <c r="HH4" s="281"/>
      <c r="HI4" s="281"/>
      <c r="HJ4" s="281"/>
      <c r="HK4" s="281"/>
      <c r="HL4" s="281"/>
      <c r="HM4" s="281"/>
      <c r="HN4" s="281"/>
      <c r="HO4" s="281"/>
      <c r="HP4" s="281"/>
      <c r="HQ4" s="281"/>
      <c r="HR4" s="281"/>
      <c r="HS4" s="281"/>
      <c r="HT4" s="281"/>
      <c r="HU4" s="281"/>
      <c r="HV4" s="281"/>
      <c r="HW4" s="281"/>
      <c r="HX4" s="281"/>
      <c r="HY4" s="281"/>
      <c r="HZ4" s="281"/>
      <c r="IA4" s="281"/>
      <c r="IB4" s="281"/>
      <c r="IC4" s="281"/>
      <c r="ID4" s="281"/>
      <c r="IE4" s="281"/>
      <c r="IF4" s="281"/>
      <c r="IG4" s="281"/>
      <c r="IH4" s="281"/>
      <c r="II4" s="281"/>
      <c r="IJ4" s="281"/>
      <c r="IK4" s="281"/>
      <c r="IL4" s="281"/>
      <c r="IM4" s="281"/>
      <c r="IN4" s="281"/>
      <c r="IO4" s="281"/>
      <c r="IP4" s="282"/>
    </row>
    <row r="5" spans="1:250" ht="21" customHeight="1" x14ac:dyDescent="0.15">
      <c r="A5" s="283"/>
      <c r="B5" s="284"/>
      <c r="C5" s="335" t="s">
        <v>17</v>
      </c>
      <c r="D5" s="2670">
        <v>13.843664813000004</v>
      </c>
      <c r="E5" s="336">
        <f>100-((D5*100)/100)</f>
        <v>86.156335186999996</v>
      </c>
      <c r="F5" s="337">
        <v>2</v>
      </c>
      <c r="G5" s="288"/>
      <c r="H5" s="449" t="s">
        <v>11</v>
      </c>
      <c r="I5" s="2083">
        <f>Données!D45</f>
        <v>34.507587577119999</v>
      </c>
      <c r="J5" s="465">
        <f>100-(((44-I5)*100)/100)</f>
        <v>90.507587577120006</v>
      </c>
      <c r="K5" s="451">
        <v>2</v>
      </c>
      <c r="L5" s="288"/>
      <c r="M5" s="313" t="s">
        <v>10</v>
      </c>
      <c r="N5" s="541">
        <f>'H Topo'!D3</f>
        <v>0.67545368735599998</v>
      </c>
      <c r="O5" s="314">
        <f>'H Topo'!D4</f>
        <v>8.3383295969028026</v>
      </c>
      <c r="P5" s="448">
        <v>2</v>
      </c>
      <c r="Q5" s="288"/>
      <c r="R5" s="16" t="s">
        <v>23</v>
      </c>
      <c r="S5" s="341">
        <f>'H Topo'!F11</f>
        <v>5</v>
      </c>
      <c r="T5" s="341">
        <f>'H Topo'!F12</f>
        <v>0</v>
      </c>
      <c r="U5" s="341">
        <f>'H Topo'!F13</f>
        <v>1</v>
      </c>
      <c r="V5" s="341">
        <f>'H Topo'!F14</f>
        <v>1</v>
      </c>
      <c r="W5" s="341">
        <f>'H Topo'!F15</f>
        <v>0</v>
      </c>
      <c r="X5" s="341">
        <f>'H Topo'!H16</f>
        <v>0</v>
      </c>
      <c r="Y5" s="341">
        <f>'H Topo'!H17</f>
        <v>1</v>
      </c>
      <c r="Z5" s="342">
        <f>'H Topo'!F19</f>
        <v>2</v>
      </c>
      <c r="AA5" s="343"/>
      <c r="AB5" s="344" t="s">
        <v>18</v>
      </c>
      <c r="AC5" s="345">
        <f>'H Topo'!L8</f>
        <v>14.66</v>
      </c>
      <c r="AD5" s="345">
        <f>'H Topo'!L9</f>
        <v>5.850000000000124</v>
      </c>
      <c r="AE5" s="346">
        <v>2</v>
      </c>
      <c r="AF5" s="301"/>
      <c r="AG5" s="349"/>
      <c r="AH5" s="2086">
        <v>2</v>
      </c>
      <c r="AI5" s="473" t="s">
        <v>10</v>
      </c>
      <c r="AJ5" s="474">
        <v>19</v>
      </c>
      <c r="AK5" s="1745">
        <f t="shared" si="0"/>
        <v>3.8</v>
      </c>
      <c r="AL5" s="349"/>
      <c r="AM5" s="349"/>
      <c r="AN5" s="40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/>
      <c r="BA5" s="281"/>
      <c r="BB5" s="350"/>
      <c r="BC5" s="40"/>
      <c r="BD5" s="281"/>
      <c r="BE5" s="281"/>
      <c r="BF5" s="281"/>
      <c r="BG5" s="281"/>
      <c r="BH5" s="284"/>
      <c r="BI5" s="351"/>
      <c r="BJ5" s="330"/>
      <c r="BK5" s="352"/>
      <c r="BL5" s="326"/>
      <c r="BM5" s="327"/>
      <c r="BN5" s="328"/>
      <c r="BO5" s="353"/>
      <c r="BP5" s="354"/>
      <c r="BQ5" s="355"/>
      <c r="BR5" s="356"/>
      <c r="BS5" s="357"/>
      <c r="BT5" s="358"/>
      <c r="BU5" s="359"/>
      <c r="BV5" s="360"/>
      <c r="BW5" s="361"/>
      <c r="BX5" s="301"/>
      <c r="BY5" s="281"/>
      <c r="BZ5" s="281"/>
      <c r="CA5" s="281"/>
      <c r="CB5" s="281"/>
      <c r="CC5" s="281"/>
      <c r="CD5" s="281"/>
      <c r="CE5" s="281"/>
      <c r="CF5" s="281"/>
      <c r="CG5" s="281"/>
      <c r="CH5" s="281"/>
      <c r="CI5" s="281"/>
      <c r="CJ5" s="281"/>
      <c r="CK5" s="281"/>
      <c r="CL5" s="281"/>
      <c r="CM5" s="281"/>
      <c r="CN5" s="281"/>
      <c r="CO5" s="281"/>
      <c r="CP5" s="281"/>
      <c r="CQ5" s="281"/>
      <c r="CR5" s="281"/>
      <c r="CS5" s="281"/>
      <c r="CT5" s="281"/>
      <c r="CU5" s="281"/>
      <c r="CV5" s="281"/>
      <c r="CW5" s="281"/>
      <c r="CX5" s="281"/>
      <c r="CY5" s="281"/>
      <c r="CZ5" s="281"/>
      <c r="DA5" s="281"/>
      <c r="DB5" s="281"/>
      <c r="DC5" s="281"/>
      <c r="DD5" s="281"/>
      <c r="DE5" s="281"/>
      <c r="DF5" s="281"/>
      <c r="DG5" s="281"/>
      <c r="DH5" s="281"/>
      <c r="DI5" s="281"/>
      <c r="DJ5" s="281"/>
      <c r="DK5" s="281"/>
      <c r="DL5" s="281"/>
      <c r="DM5" s="281"/>
      <c r="DN5" s="281"/>
      <c r="DO5" s="281"/>
      <c r="DP5" s="281"/>
      <c r="DQ5" s="281"/>
      <c r="DR5" s="281"/>
      <c r="DS5" s="281"/>
      <c r="DT5" s="281"/>
      <c r="DU5" s="281"/>
      <c r="DV5" s="281"/>
      <c r="DW5" s="281"/>
      <c r="DX5" s="281"/>
      <c r="DY5" s="281"/>
      <c r="DZ5" s="281"/>
      <c r="EA5" s="281"/>
      <c r="EB5" s="281"/>
      <c r="EC5" s="281"/>
      <c r="ED5" s="281"/>
      <c r="EE5" s="281"/>
      <c r="EF5" s="281"/>
      <c r="EG5" s="281"/>
      <c r="EH5" s="281"/>
      <c r="EI5" s="281"/>
      <c r="EJ5" s="281"/>
      <c r="EK5" s="281"/>
      <c r="EL5" s="281"/>
      <c r="EM5" s="281"/>
      <c r="EN5" s="281"/>
      <c r="EO5" s="281"/>
      <c r="EP5" s="281"/>
      <c r="EQ5" s="281"/>
      <c r="ER5" s="281"/>
      <c r="ES5" s="281"/>
      <c r="ET5" s="281"/>
      <c r="EU5" s="281"/>
      <c r="EV5" s="281"/>
      <c r="EW5" s="281"/>
      <c r="EX5" s="281"/>
      <c r="EY5" s="281"/>
      <c r="EZ5" s="281"/>
      <c r="FA5" s="281"/>
      <c r="FB5" s="281"/>
      <c r="FC5" s="281"/>
      <c r="FD5" s="281"/>
      <c r="FE5" s="281"/>
      <c r="FF5" s="281"/>
      <c r="FG5" s="281"/>
      <c r="FH5" s="281"/>
      <c r="FI5" s="281"/>
      <c r="FJ5" s="281"/>
      <c r="FK5" s="281"/>
      <c r="FL5" s="281"/>
      <c r="FM5" s="281"/>
      <c r="FN5" s="281"/>
      <c r="FO5" s="281"/>
      <c r="FP5" s="281"/>
      <c r="FQ5" s="281"/>
      <c r="FR5" s="281"/>
      <c r="FS5" s="281"/>
      <c r="FT5" s="281"/>
      <c r="FU5" s="281"/>
      <c r="FV5" s="281"/>
      <c r="FW5" s="281"/>
      <c r="FX5" s="281"/>
      <c r="FY5" s="281"/>
      <c r="FZ5" s="281"/>
      <c r="GA5" s="281"/>
      <c r="GB5" s="281"/>
      <c r="GC5" s="281"/>
      <c r="GD5" s="281"/>
      <c r="GE5" s="281"/>
      <c r="GF5" s="281"/>
      <c r="GG5" s="281"/>
      <c r="GH5" s="281"/>
      <c r="GI5" s="281"/>
      <c r="GJ5" s="281"/>
      <c r="GK5" s="281"/>
      <c r="GL5" s="281"/>
      <c r="GM5" s="281"/>
      <c r="GN5" s="281"/>
      <c r="GO5" s="281"/>
      <c r="GP5" s="281"/>
      <c r="GQ5" s="281"/>
      <c r="GR5" s="281"/>
      <c r="GS5" s="281"/>
      <c r="GT5" s="281"/>
      <c r="GU5" s="281"/>
      <c r="GV5" s="281"/>
      <c r="GW5" s="281"/>
      <c r="GX5" s="281"/>
      <c r="GY5" s="281"/>
      <c r="GZ5" s="281"/>
      <c r="HA5" s="281"/>
      <c r="HB5" s="281"/>
      <c r="HC5" s="281"/>
      <c r="HD5" s="281"/>
      <c r="HE5" s="281"/>
      <c r="HF5" s="281"/>
      <c r="HG5" s="281"/>
      <c r="HH5" s="281"/>
      <c r="HI5" s="281"/>
      <c r="HJ5" s="281"/>
      <c r="HK5" s="281"/>
      <c r="HL5" s="281"/>
      <c r="HM5" s="281"/>
      <c r="HN5" s="281"/>
      <c r="HO5" s="281"/>
      <c r="HP5" s="281"/>
      <c r="HQ5" s="281"/>
      <c r="HR5" s="281"/>
      <c r="HS5" s="281"/>
      <c r="HT5" s="281"/>
      <c r="HU5" s="281"/>
      <c r="HV5" s="281"/>
      <c r="HW5" s="281"/>
      <c r="HX5" s="281"/>
      <c r="HY5" s="281"/>
      <c r="HZ5" s="281"/>
      <c r="IA5" s="281"/>
      <c r="IB5" s="281"/>
      <c r="IC5" s="281"/>
      <c r="ID5" s="281"/>
      <c r="IE5" s="281"/>
      <c r="IF5" s="281"/>
      <c r="IG5" s="281"/>
      <c r="IH5" s="281"/>
      <c r="II5" s="281"/>
      <c r="IJ5" s="281"/>
      <c r="IK5" s="281"/>
      <c r="IL5" s="281"/>
      <c r="IM5" s="281"/>
      <c r="IN5" s="281"/>
      <c r="IO5" s="281"/>
      <c r="IP5" s="282"/>
    </row>
    <row r="6" spans="1:250" ht="21" customHeight="1" x14ac:dyDescent="0.15">
      <c r="A6" s="283"/>
      <c r="B6" s="284"/>
      <c r="C6" s="344" t="s">
        <v>18</v>
      </c>
      <c r="D6" s="2662">
        <v>14.782335187000001</v>
      </c>
      <c r="E6" s="431">
        <f>100-((D6*100)/100)</f>
        <v>85.217664812999999</v>
      </c>
      <c r="F6" s="432">
        <v>3</v>
      </c>
      <c r="G6" s="288"/>
      <c r="H6" s="16" t="s">
        <v>23</v>
      </c>
      <c r="I6" s="2041">
        <f>Données!D46</f>
        <v>22.487530990964999</v>
      </c>
      <c r="J6" s="382">
        <f t="shared" ref="J6:J11" si="1">80-(((I6-22)*80)/100)</f>
        <v>79.609975207228004</v>
      </c>
      <c r="K6" s="342">
        <v>3</v>
      </c>
      <c r="L6" s="288"/>
      <c r="M6" s="16" t="s">
        <v>23</v>
      </c>
      <c r="N6" s="536">
        <f>'H Topo'!F3</f>
        <v>0.99111767683800001</v>
      </c>
      <c r="O6" s="434">
        <f>'H Topo'!F4</f>
        <v>7.6577821815406013</v>
      </c>
      <c r="P6" s="435">
        <v>3</v>
      </c>
      <c r="Q6" s="288"/>
      <c r="R6" s="304" t="s">
        <v>14</v>
      </c>
      <c r="S6" s="2609">
        <f>'H Topo'!H11</f>
        <v>3</v>
      </c>
      <c r="T6" s="2609">
        <f>'H Topo'!H12</f>
        <v>0</v>
      </c>
      <c r="U6" s="2609">
        <f>'H Topo'!H13</f>
        <v>0</v>
      </c>
      <c r="V6" s="2609">
        <f>'H Topo'!H14</f>
        <v>1</v>
      </c>
      <c r="W6" s="2609">
        <f>'H Topo'!H15</f>
        <v>2</v>
      </c>
      <c r="X6" s="2609">
        <f>'H Topo'!H16</f>
        <v>0</v>
      </c>
      <c r="Y6" s="2609">
        <f>'H Topo'!H17</f>
        <v>1</v>
      </c>
      <c r="Z6" s="306">
        <f>'H Topo'!H19</f>
        <v>3</v>
      </c>
      <c r="AA6" s="368"/>
      <c r="AB6" s="313" t="s">
        <v>10</v>
      </c>
      <c r="AC6" s="314">
        <f>'H Topo'!D8</f>
        <v>3.12</v>
      </c>
      <c r="AD6" s="314">
        <f>'H Topo'!D9</f>
        <v>3.1315789473684363</v>
      </c>
      <c r="AE6" s="315">
        <v>3</v>
      </c>
      <c r="AF6" s="301"/>
      <c r="AG6" s="281"/>
      <c r="AH6" s="2088">
        <v>3</v>
      </c>
      <c r="AI6" s="405" t="s">
        <v>23</v>
      </c>
      <c r="AJ6" s="406">
        <v>22</v>
      </c>
      <c r="AK6" s="1747">
        <f t="shared" si="0"/>
        <v>4.4000000000000004</v>
      </c>
      <c r="AL6" s="281"/>
      <c r="AM6" s="281"/>
      <c r="AN6" s="40"/>
      <c r="AO6" s="281"/>
      <c r="AP6" s="281"/>
      <c r="AQ6" s="281"/>
      <c r="AR6" s="281"/>
      <c r="AS6" s="281"/>
      <c r="AT6" s="281"/>
      <c r="AU6" s="281"/>
      <c r="AV6" s="281"/>
      <c r="AW6" s="281"/>
      <c r="AX6" s="281"/>
      <c r="AY6" s="281"/>
      <c r="AZ6" s="281"/>
      <c r="BA6" s="281"/>
      <c r="BB6" s="350"/>
      <c r="BC6" s="40"/>
      <c r="BD6" s="281"/>
      <c r="BE6" s="281"/>
      <c r="BF6" s="281"/>
      <c r="BG6" s="281"/>
      <c r="BH6" s="284"/>
      <c r="BI6" s="374"/>
      <c r="BJ6" s="375"/>
      <c r="BK6" s="376"/>
      <c r="BL6" s="356"/>
      <c r="BM6" s="357"/>
      <c r="BN6" s="358"/>
      <c r="BO6" s="377"/>
      <c r="BP6" s="378"/>
      <c r="BQ6" s="379"/>
      <c r="BR6" s="374"/>
      <c r="BS6" s="375"/>
      <c r="BT6" s="376"/>
      <c r="BU6" s="380"/>
      <c r="BV6" s="354"/>
      <c r="BW6" s="381"/>
      <c r="BX6" s="301"/>
      <c r="BY6" s="281"/>
      <c r="BZ6" s="281"/>
      <c r="CA6" s="281"/>
      <c r="CB6" s="281"/>
      <c r="CC6" s="281"/>
      <c r="CD6" s="281"/>
      <c r="CE6" s="281"/>
      <c r="CF6" s="281"/>
      <c r="CG6" s="281"/>
      <c r="CH6" s="281"/>
      <c r="CI6" s="281"/>
      <c r="CJ6" s="281"/>
      <c r="CK6" s="281"/>
      <c r="CL6" s="281"/>
      <c r="CM6" s="281"/>
      <c r="CN6" s="281"/>
      <c r="CO6" s="281"/>
      <c r="CP6" s="281"/>
      <c r="CQ6" s="281"/>
      <c r="CR6" s="281"/>
      <c r="CS6" s="281"/>
      <c r="CT6" s="281"/>
      <c r="CU6" s="281"/>
      <c r="CV6" s="281"/>
      <c r="CW6" s="281"/>
      <c r="CX6" s="281"/>
      <c r="CY6" s="281"/>
      <c r="CZ6" s="281"/>
      <c r="DA6" s="281"/>
      <c r="DB6" s="281"/>
      <c r="DC6" s="281"/>
      <c r="DD6" s="281"/>
      <c r="DE6" s="281"/>
      <c r="DF6" s="281"/>
      <c r="DG6" s="281"/>
      <c r="DH6" s="281"/>
      <c r="DI6" s="281"/>
      <c r="DJ6" s="281"/>
      <c r="DK6" s="281"/>
      <c r="DL6" s="281"/>
      <c r="DM6" s="281"/>
      <c r="DN6" s="281"/>
      <c r="DO6" s="281"/>
      <c r="DP6" s="281"/>
      <c r="DQ6" s="281"/>
      <c r="DR6" s="281"/>
      <c r="DS6" s="281"/>
      <c r="DT6" s="281"/>
      <c r="DU6" s="281"/>
      <c r="DV6" s="281"/>
      <c r="DW6" s="281"/>
      <c r="DX6" s="281"/>
      <c r="DY6" s="281"/>
      <c r="DZ6" s="281"/>
      <c r="EA6" s="281"/>
      <c r="EB6" s="281"/>
      <c r="EC6" s="281"/>
      <c r="ED6" s="281"/>
      <c r="EE6" s="281"/>
      <c r="EF6" s="281"/>
      <c r="EG6" s="281"/>
      <c r="EH6" s="281"/>
      <c r="EI6" s="281"/>
      <c r="EJ6" s="281"/>
      <c r="EK6" s="281"/>
      <c r="EL6" s="281"/>
      <c r="EM6" s="281"/>
      <c r="EN6" s="281"/>
      <c r="EO6" s="281"/>
      <c r="EP6" s="281"/>
      <c r="EQ6" s="281"/>
      <c r="ER6" s="281"/>
      <c r="ES6" s="281"/>
      <c r="ET6" s="281"/>
      <c r="EU6" s="281"/>
      <c r="EV6" s="281"/>
      <c r="EW6" s="281"/>
      <c r="EX6" s="281"/>
      <c r="EY6" s="281"/>
      <c r="EZ6" s="281"/>
      <c r="FA6" s="281"/>
      <c r="FB6" s="281"/>
      <c r="FC6" s="281"/>
      <c r="FD6" s="281"/>
      <c r="FE6" s="281"/>
      <c r="FF6" s="281"/>
      <c r="FG6" s="281"/>
      <c r="FH6" s="281"/>
      <c r="FI6" s="281"/>
      <c r="FJ6" s="281"/>
      <c r="FK6" s="281"/>
      <c r="FL6" s="281"/>
      <c r="FM6" s="281"/>
      <c r="FN6" s="281"/>
      <c r="FO6" s="281"/>
      <c r="FP6" s="281"/>
      <c r="FQ6" s="281"/>
      <c r="FR6" s="281"/>
      <c r="FS6" s="281"/>
      <c r="FT6" s="281"/>
      <c r="FU6" s="281"/>
      <c r="FV6" s="281"/>
      <c r="FW6" s="281"/>
      <c r="FX6" s="281"/>
      <c r="FY6" s="281"/>
      <c r="FZ6" s="281"/>
      <c r="GA6" s="281"/>
      <c r="GB6" s="281"/>
      <c r="GC6" s="281"/>
      <c r="GD6" s="281"/>
      <c r="GE6" s="281"/>
      <c r="GF6" s="281"/>
      <c r="GG6" s="281"/>
      <c r="GH6" s="281"/>
      <c r="GI6" s="281"/>
      <c r="GJ6" s="281"/>
      <c r="GK6" s="281"/>
      <c r="GL6" s="281"/>
      <c r="GM6" s="281"/>
      <c r="GN6" s="281"/>
      <c r="GO6" s="281"/>
      <c r="GP6" s="281"/>
      <c r="GQ6" s="281"/>
      <c r="GR6" s="281"/>
      <c r="GS6" s="281"/>
      <c r="GT6" s="281"/>
      <c r="GU6" s="281"/>
      <c r="GV6" s="281"/>
      <c r="GW6" s="281"/>
      <c r="GX6" s="281"/>
      <c r="GY6" s="281"/>
      <c r="GZ6" s="281"/>
      <c r="HA6" s="281"/>
      <c r="HB6" s="281"/>
      <c r="HC6" s="281"/>
      <c r="HD6" s="281"/>
      <c r="HE6" s="281"/>
      <c r="HF6" s="281"/>
      <c r="HG6" s="281"/>
      <c r="HH6" s="281"/>
      <c r="HI6" s="281"/>
      <c r="HJ6" s="281"/>
      <c r="HK6" s="281"/>
      <c r="HL6" s="281"/>
      <c r="HM6" s="281"/>
      <c r="HN6" s="281"/>
      <c r="HO6" s="281"/>
      <c r="HP6" s="281"/>
      <c r="HQ6" s="281"/>
      <c r="HR6" s="281"/>
      <c r="HS6" s="281"/>
      <c r="HT6" s="281"/>
      <c r="HU6" s="281"/>
      <c r="HV6" s="281"/>
      <c r="HW6" s="281"/>
      <c r="HX6" s="281"/>
      <c r="HY6" s="281"/>
      <c r="HZ6" s="281"/>
      <c r="IA6" s="281"/>
      <c r="IB6" s="281"/>
      <c r="IC6" s="281"/>
      <c r="ID6" s="281"/>
      <c r="IE6" s="281"/>
      <c r="IF6" s="281"/>
      <c r="IG6" s="281"/>
      <c r="IH6" s="281"/>
      <c r="II6" s="281"/>
      <c r="IJ6" s="281"/>
      <c r="IK6" s="281"/>
      <c r="IL6" s="281"/>
      <c r="IM6" s="281"/>
      <c r="IN6" s="281"/>
      <c r="IO6" s="281"/>
      <c r="IP6" s="282"/>
    </row>
    <row r="7" spans="1:250" ht="21" customHeight="1" x14ac:dyDescent="0.15">
      <c r="A7" s="283"/>
      <c r="B7" s="284"/>
      <c r="C7" s="11" t="s">
        <v>13</v>
      </c>
      <c r="D7" s="2663">
        <v>23.375335186999997</v>
      </c>
      <c r="E7" s="302">
        <f>100-((D7*100)/100)</f>
        <v>76.62466481300001</v>
      </c>
      <c r="F7" s="303">
        <v>4</v>
      </c>
      <c r="G7" s="288"/>
      <c r="H7" s="313" t="s">
        <v>10</v>
      </c>
      <c r="I7" s="1725">
        <f>Données!D44</f>
        <v>22.732587163971999</v>
      </c>
      <c r="J7" s="466">
        <f t="shared" si="1"/>
        <v>79.413930268822398</v>
      </c>
      <c r="K7" s="467">
        <v>4</v>
      </c>
      <c r="L7" s="288"/>
      <c r="M7" s="316" t="s">
        <v>9</v>
      </c>
      <c r="N7" s="1705">
        <f>'H Topo'!C3</f>
        <v>2.528082232E-3</v>
      </c>
      <c r="O7" s="369">
        <f>'H Topo'!C4</f>
        <v>5.4383553599998127</v>
      </c>
      <c r="P7" s="385">
        <v>4</v>
      </c>
      <c r="Q7" s="288"/>
      <c r="R7" s="344" t="s">
        <v>18</v>
      </c>
      <c r="S7" s="470">
        <f>'H Topo'!L11</f>
        <v>3</v>
      </c>
      <c r="T7" s="470">
        <f>'H Topo'!L12</f>
        <v>0</v>
      </c>
      <c r="U7" s="470">
        <f>'H Topo'!L13</f>
        <v>0</v>
      </c>
      <c r="V7" s="470">
        <f>'H Topo'!L14</f>
        <v>0</v>
      </c>
      <c r="W7" s="470">
        <f>'H Topo'!L15</f>
        <v>1</v>
      </c>
      <c r="X7" s="470">
        <f>'H Topo'!L16</f>
        <v>0</v>
      </c>
      <c r="Y7" s="470">
        <f>'H Topo'!L17</f>
        <v>1</v>
      </c>
      <c r="Z7" s="471">
        <f>'H Topo'!L19</f>
        <v>4</v>
      </c>
      <c r="AA7" s="386"/>
      <c r="AB7" s="335" t="s">
        <v>17</v>
      </c>
      <c r="AC7" s="400">
        <f>'H Topo'!K8</f>
        <v>7.78</v>
      </c>
      <c r="AD7" s="400">
        <f>'H Topo'!K9</f>
        <v>1.333333333333284</v>
      </c>
      <c r="AE7" s="421">
        <v>4</v>
      </c>
      <c r="AF7" s="301"/>
      <c r="AG7" s="388"/>
      <c r="AH7" s="2092">
        <v>4</v>
      </c>
      <c r="AI7" s="387" t="s">
        <v>17</v>
      </c>
      <c r="AJ7" s="2084">
        <v>24</v>
      </c>
      <c r="AK7" s="2085">
        <f t="shared" si="0"/>
        <v>4.8</v>
      </c>
      <c r="AL7" s="388"/>
      <c r="AM7" s="388"/>
      <c r="AN7" s="40"/>
      <c r="AO7" s="281"/>
      <c r="AP7" s="281"/>
      <c r="AQ7" s="281"/>
      <c r="AR7" s="281"/>
      <c r="AS7" s="281"/>
      <c r="AT7" s="281"/>
      <c r="AU7" s="281"/>
      <c r="AV7" s="281"/>
      <c r="AW7" s="281"/>
      <c r="AX7" s="281"/>
      <c r="AY7" s="281"/>
      <c r="AZ7" s="281"/>
      <c r="BA7" s="281"/>
      <c r="BB7" s="350"/>
      <c r="BC7" s="40"/>
      <c r="BD7" s="281"/>
      <c r="BE7" s="281"/>
      <c r="BF7" s="281"/>
      <c r="BG7" s="281"/>
      <c r="BH7" s="284"/>
      <c r="BI7" s="389"/>
      <c r="BJ7" s="390"/>
      <c r="BK7" s="391"/>
      <c r="BL7" s="392"/>
      <c r="BM7" s="393"/>
      <c r="BN7" s="394"/>
      <c r="BO7" s="356"/>
      <c r="BP7" s="357"/>
      <c r="BQ7" s="358"/>
      <c r="BR7" s="395"/>
      <c r="BS7" s="390"/>
      <c r="BT7" s="391"/>
      <c r="BU7" s="396"/>
      <c r="BV7" s="397"/>
      <c r="BW7" s="398"/>
      <c r="BX7" s="301"/>
      <c r="BY7" s="281"/>
      <c r="BZ7" s="281"/>
      <c r="CA7" s="281"/>
      <c r="CB7" s="281"/>
      <c r="CC7" s="281"/>
      <c r="CD7" s="281"/>
      <c r="CE7" s="281"/>
      <c r="CF7" s="281"/>
      <c r="CG7" s="281"/>
      <c r="CH7" s="281"/>
      <c r="CI7" s="281"/>
      <c r="CJ7" s="281"/>
      <c r="CK7" s="281"/>
      <c r="CL7" s="281"/>
      <c r="CM7" s="281"/>
      <c r="CN7" s="281"/>
      <c r="CO7" s="281"/>
      <c r="CP7" s="281"/>
      <c r="CQ7" s="281"/>
      <c r="CR7" s="281"/>
      <c r="CS7" s="281"/>
      <c r="CT7" s="281"/>
      <c r="CU7" s="281"/>
      <c r="CV7" s="281"/>
      <c r="CW7" s="281"/>
      <c r="CX7" s="281"/>
      <c r="CY7" s="281"/>
      <c r="CZ7" s="281"/>
      <c r="DA7" s="281"/>
      <c r="DB7" s="281"/>
      <c r="DC7" s="281"/>
      <c r="DD7" s="281"/>
      <c r="DE7" s="281"/>
      <c r="DF7" s="281"/>
      <c r="DG7" s="281"/>
      <c r="DH7" s="281"/>
      <c r="DI7" s="281"/>
      <c r="DJ7" s="281"/>
      <c r="DK7" s="281"/>
      <c r="DL7" s="281"/>
      <c r="DM7" s="281"/>
      <c r="DN7" s="281"/>
      <c r="DO7" s="281"/>
      <c r="DP7" s="281"/>
      <c r="DQ7" s="281"/>
      <c r="DR7" s="281"/>
      <c r="DS7" s="281"/>
      <c r="DT7" s="281"/>
      <c r="DU7" s="281"/>
      <c r="DV7" s="281"/>
      <c r="DW7" s="281"/>
      <c r="DX7" s="281"/>
      <c r="DY7" s="281"/>
      <c r="DZ7" s="281"/>
      <c r="EA7" s="281"/>
      <c r="EB7" s="281"/>
      <c r="EC7" s="281"/>
      <c r="ED7" s="281"/>
      <c r="EE7" s="281"/>
      <c r="EF7" s="281"/>
      <c r="EG7" s="281"/>
      <c r="EH7" s="281"/>
      <c r="EI7" s="281"/>
      <c r="EJ7" s="281"/>
      <c r="EK7" s="281"/>
      <c r="EL7" s="281"/>
      <c r="EM7" s="281"/>
      <c r="EN7" s="281"/>
      <c r="EO7" s="281"/>
      <c r="EP7" s="281"/>
      <c r="EQ7" s="281"/>
      <c r="ER7" s="281"/>
      <c r="ES7" s="281"/>
      <c r="ET7" s="281"/>
      <c r="EU7" s="281"/>
      <c r="EV7" s="281"/>
      <c r="EW7" s="281"/>
      <c r="EX7" s="281"/>
      <c r="EY7" s="281"/>
      <c r="EZ7" s="281"/>
      <c r="FA7" s="281"/>
      <c r="FB7" s="281"/>
      <c r="FC7" s="281"/>
      <c r="FD7" s="281"/>
      <c r="FE7" s="281"/>
      <c r="FF7" s="281"/>
      <c r="FG7" s="281"/>
      <c r="FH7" s="281"/>
      <c r="FI7" s="281"/>
      <c r="FJ7" s="281"/>
      <c r="FK7" s="281"/>
      <c r="FL7" s="281"/>
      <c r="FM7" s="281"/>
      <c r="FN7" s="281"/>
      <c r="FO7" s="281"/>
      <c r="FP7" s="281"/>
      <c r="FQ7" s="281"/>
      <c r="FR7" s="281"/>
      <c r="FS7" s="281"/>
      <c r="FT7" s="281"/>
      <c r="FU7" s="281"/>
      <c r="FV7" s="281"/>
      <c r="FW7" s="281"/>
      <c r="FX7" s="281"/>
      <c r="FY7" s="281"/>
      <c r="FZ7" s="281"/>
      <c r="GA7" s="281"/>
      <c r="GB7" s="281"/>
      <c r="GC7" s="281"/>
      <c r="GD7" s="281"/>
      <c r="GE7" s="281"/>
      <c r="GF7" s="281"/>
      <c r="GG7" s="281"/>
      <c r="GH7" s="281"/>
      <c r="GI7" s="281"/>
      <c r="GJ7" s="281"/>
      <c r="GK7" s="281"/>
      <c r="GL7" s="281"/>
      <c r="GM7" s="281"/>
      <c r="GN7" s="281"/>
      <c r="GO7" s="281"/>
      <c r="GP7" s="281"/>
      <c r="GQ7" s="281"/>
      <c r="GR7" s="281"/>
      <c r="GS7" s="281"/>
      <c r="GT7" s="281"/>
      <c r="GU7" s="281"/>
      <c r="GV7" s="281"/>
      <c r="GW7" s="281"/>
      <c r="GX7" s="281"/>
      <c r="GY7" s="281"/>
      <c r="GZ7" s="281"/>
      <c r="HA7" s="281"/>
      <c r="HB7" s="281"/>
      <c r="HC7" s="281"/>
      <c r="HD7" s="281"/>
      <c r="HE7" s="281"/>
      <c r="HF7" s="281"/>
      <c r="HG7" s="281"/>
      <c r="HH7" s="281"/>
      <c r="HI7" s="281"/>
      <c r="HJ7" s="281"/>
      <c r="HK7" s="281"/>
      <c r="HL7" s="281"/>
      <c r="HM7" s="281"/>
      <c r="HN7" s="281"/>
      <c r="HO7" s="281"/>
      <c r="HP7" s="281"/>
      <c r="HQ7" s="281"/>
      <c r="HR7" s="281"/>
      <c r="HS7" s="281"/>
      <c r="HT7" s="281"/>
      <c r="HU7" s="281"/>
      <c r="HV7" s="281"/>
      <c r="HW7" s="281"/>
      <c r="HX7" s="281"/>
      <c r="HY7" s="281"/>
      <c r="HZ7" s="281"/>
      <c r="IA7" s="281"/>
      <c r="IB7" s="281"/>
      <c r="IC7" s="281"/>
      <c r="ID7" s="281"/>
      <c r="IE7" s="281"/>
      <c r="IF7" s="281"/>
      <c r="IG7" s="281"/>
      <c r="IH7" s="281"/>
      <c r="II7" s="281"/>
      <c r="IJ7" s="281"/>
      <c r="IK7" s="281"/>
      <c r="IL7" s="281"/>
      <c r="IM7" s="281"/>
      <c r="IN7" s="281"/>
      <c r="IO7" s="281"/>
      <c r="IP7" s="282"/>
    </row>
    <row r="8" spans="1:250" ht="21" customHeight="1" x14ac:dyDescent="0.15">
      <c r="A8" s="283"/>
      <c r="B8" s="284"/>
      <c r="C8" s="449" t="s">
        <v>11</v>
      </c>
      <c r="D8" s="2668">
        <v>19.712</v>
      </c>
      <c r="E8" s="465">
        <f>90-((D8*90)/100)</f>
        <v>72.259199999999993</v>
      </c>
      <c r="F8" s="451">
        <v>5</v>
      </c>
      <c r="G8" s="288"/>
      <c r="H8" s="335" t="s">
        <v>17</v>
      </c>
      <c r="I8" s="2082">
        <f>Données!D51</f>
        <v>22.787488784979999</v>
      </c>
      <c r="J8" s="336">
        <f t="shared" si="1"/>
        <v>79.370008972015995</v>
      </c>
      <c r="K8" s="337">
        <v>5</v>
      </c>
      <c r="L8" s="288"/>
      <c r="M8" s="307" t="s">
        <v>15</v>
      </c>
      <c r="N8" s="497">
        <f>'H Topo'!I3</f>
        <v>9.5762349930700008</v>
      </c>
      <c r="O8" s="309">
        <f>'H Topo'!I4</f>
        <v>4.8504014172647985</v>
      </c>
      <c r="P8" s="310">
        <v>5</v>
      </c>
      <c r="Q8" s="288"/>
      <c r="R8" s="11" t="s">
        <v>13</v>
      </c>
      <c r="S8" s="311">
        <f>'H Topo'!G11</f>
        <v>3</v>
      </c>
      <c r="T8" s="311">
        <f>'H Topo'!G12</f>
        <v>0</v>
      </c>
      <c r="U8" s="311">
        <f>'H Topo'!G13</f>
        <v>0</v>
      </c>
      <c r="V8" s="311">
        <f>'H Topo'!G14</f>
        <v>0</v>
      </c>
      <c r="W8" s="311">
        <f>'H Topo'!G15</f>
        <v>0</v>
      </c>
      <c r="X8" s="311">
        <f>'H Topo'!G16</f>
        <v>0</v>
      </c>
      <c r="Y8" s="311">
        <f>'H Topo'!G17</f>
        <v>0</v>
      </c>
      <c r="Z8" s="303">
        <f>'H Topo'!G19</f>
        <v>5</v>
      </c>
      <c r="AA8" s="403"/>
      <c r="AB8" s="304" t="s">
        <v>14</v>
      </c>
      <c r="AC8" s="365">
        <f>'H Topo'!H8</f>
        <v>-1.22</v>
      </c>
      <c r="AD8" s="365">
        <f>'H Topo'!H9</f>
        <v>1.222222222222221</v>
      </c>
      <c r="AE8" s="2079">
        <v>5</v>
      </c>
      <c r="AF8" s="301"/>
      <c r="AG8" s="407"/>
      <c r="AH8" s="2090">
        <v>5</v>
      </c>
      <c r="AI8" s="453" t="s">
        <v>16</v>
      </c>
      <c r="AJ8" s="454">
        <v>27</v>
      </c>
      <c r="AK8" s="1750">
        <f t="shared" si="0"/>
        <v>5.4</v>
      </c>
      <c r="AL8" s="407"/>
      <c r="AM8" s="407"/>
      <c r="AN8" s="40"/>
      <c r="AO8" s="281"/>
      <c r="AP8" s="281"/>
      <c r="AQ8" s="281"/>
      <c r="AR8" s="281"/>
      <c r="AS8" s="281"/>
      <c r="AT8" s="281"/>
      <c r="AU8" s="281"/>
      <c r="AV8" s="281"/>
      <c r="AW8" s="281"/>
      <c r="AX8" s="281"/>
      <c r="AY8" s="281"/>
      <c r="AZ8" s="281"/>
      <c r="BA8" s="281"/>
      <c r="BB8" s="350"/>
      <c r="BC8" s="40"/>
      <c r="BD8" s="281"/>
      <c r="BE8" s="281"/>
      <c r="BF8" s="281"/>
      <c r="BG8" s="281"/>
      <c r="BH8" s="284"/>
      <c r="BI8" s="323"/>
      <c r="BJ8" s="324"/>
      <c r="BK8" s="325"/>
      <c r="BL8" s="353"/>
      <c r="BM8" s="354"/>
      <c r="BN8" s="355"/>
      <c r="BO8" s="408"/>
      <c r="BP8" s="409"/>
      <c r="BQ8" s="410"/>
      <c r="BR8" s="392"/>
      <c r="BS8" s="393"/>
      <c r="BT8" s="394"/>
      <c r="BU8" s="411"/>
      <c r="BV8" s="390"/>
      <c r="BW8" s="412"/>
      <c r="BX8" s="301"/>
      <c r="BY8" s="281"/>
      <c r="BZ8" s="281"/>
      <c r="CA8" s="281"/>
      <c r="CB8" s="281"/>
      <c r="CC8" s="281"/>
      <c r="CD8" s="281"/>
      <c r="CE8" s="281"/>
      <c r="CF8" s="281"/>
      <c r="CG8" s="281"/>
      <c r="CH8" s="281"/>
      <c r="CI8" s="281"/>
      <c r="CJ8" s="281"/>
      <c r="CK8" s="281"/>
      <c r="CL8" s="281"/>
      <c r="CM8" s="281"/>
      <c r="CN8" s="281"/>
      <c r="CO8" s="281"/>
      <c r="CP8" s="281"/>
      <c r="CQ8" s="281"/>
      <c r="CR8" s="281"/>
      <c r="CS8" s="281"/>
      <c r="CT8" s="281"/>
      <c r="CU8" s="281"/>
      <c r="CV8" s="281"/>
      <c r="CW8" s="281"/>
      <c r="CX8" s="281"/>
      <c r="CY8" s="281"/>
      <c r="CZ8" s="281"/>
      <c r="DA8" s="281"/>
      <c r="DB8" s="281"/>
      <c r="DC8" s="281"/>
      <c r="DD8" s="281"/>
      <c r="DE8" s="281"/>
      <c r="DF8" s="281"/>
      <c r="DG8" s="281"/>
      <c r="DH8" s="281"/>
      <c r="DI8" s="281"/>
      <c r="DJ8" s="281"/>
      <c r="DK8" s="281"/>
      <c r="DL8" s="281"/>
      <c r="DM8" s="281"/>
      <c r="DN8" s="281"/>
      <c r="DO8" s="281"/>
      <c r="DP8" s="281"/>
      <c r="DQ8" s="281"/>
      <c r="DR8" s="281"/>
      <c r="DS8" s="281"/>
      <c r="DT8" s="281"/>
      <c r="DU8" s="281"/>
      <c r="DV8" s="281"/>
      <c r="DW8" s="281"/>
      <c r="DX8" s="281"/>
      <c r="DY8" s="281"/>
      <c r="DZ8" s="281"/>
      <c r="EA8" s="281"/>
      <c r="EB8" s="281"/>
      <c r="EC8" s="281"/>
      <c r="ED8" s="281"/>
      <c r="EE8" s="281"/>
      <c r="EF8" s="281"/>
      <c r="EG8" s="281"/>
      <c r="EH8" s="281"/>
      <c r="EI8" s="281"/>
      <c r="EJ8" s="281"/>
      <c r="EK8" s="281"/>
      <c r="EL8" s="281"/>
      <c r="EM8" s="281"/>
      <c r="EN8" s="281"/>
      <c r="EO8" s="281"/>
      <c r="EP8" s="281"/>
      <c r="EQ8" s="281"/>
      <c r="ER8" s="281"/>
      <c r="ES8" s="281"/>
      <c r="ET8" s="281"/>
      <c r="EU8" s="281"/>
      <c r="EV8" s="281"/>
      <c r="EW8" s="281"/>
      <c r="EX8" s="281"/>
      <c r="EY8" s="281"/>
      <c r="EZ8" s="281"/>
      <c r="FA8" s="281"/>
      <c r="FB8" s="281"/>
      <c r="FC8" s="281"/>
      <c r="FD8" s="281"/>
      <c r="FE8" s="281"/>
      <c r="FF8" s="281"/>
      <c r="FG8" s="281"/>
      <c r="FH8" s="281"/>
      <c r="FI8" s="281"/>
      <c r="FJ8" s="281"/>
      <c r="FK8" s="281"/>
      <c r="FL8" s="281"/>
      <c r="FM8" s="281"/>
      <c r="FN8" s="281"/>
      <c r="FO8" s="281"/>
      <c r="FP8" s="281"/>
      <c r="FQ8" s="281"/>
      <c r="FR8" s="281"/>
      <c r="FS8" s="281"/>
      <c r="FT8" s="281"/>
      <c r="FU8" s="281"/>
      <c r="FV8" s="281"/>
      <c r="FW8" s="281"/>
      <c r="FX8" s="281"/>
      <c r="FY8" s="281"/>
      <c r="FZ8" s="281"/>
      <c r="GA8" s="281"/>
      <c r="GB8" s="281"/>
      <c r="GC8" s="281"/>
      <c r="GD8" s="281"/>
      <c r="GE8" s="281"/>
      <c r="GF8" s="281"/>
      <c r="GG8" s="281"/>
      <c r="GH8" s="281"/>
      <c r="GI8" s="281"/>
      <c r="GJ8" s="281"/>
      <c r="GK8" s="281"/>
      <c r="GL8" s="281"/>
      <c r="GM8" s="281"/>
      <c r="GN8" s="281"/>
      <c r="GO8" s="281"/>
      <c r="GP8" s="281"/>
      <c r="GQ8" s="281"/>
      <c r="GR8" s="281"/>
      <c r="GS8" s="281"/>
      <c r="GT8" s="281"/>
      <c r="GU8" s="281"/>
      <c r="GV8" s="281"/>
      <c r="GW8" s="281"/>
      <c r="GX8" s="281"/>
      <c r="GY8" s="281"/>
      <c r="GZ8" s="281"/>
      <c r="HA8" s="281"/>
      <c r="HB8" s="281"/>
      <c r="HC8" s="281"/>
      <c r="HD8" s="281"/>
      <c r="HE8" s="281"/>
      <c r="HF8" s="281"/>
      <c r="HG8" s="281"/>
      <c r="HH8" s="281"/>
      <c r="HI8" s="281"/>
      <c r="HJ8" s="281"/>
      <c r="HK8" s="281"/>
      <c r="HL8" s="281"/>
      <c r="HM8" s="281"/>
      <c r="HN8" s="281"/>
      <c r="HO8" s="281"/>
      <c r="HP8" s="281"/>
      <c r="HQ8" s="281"/>
      <c r="HR8" s="281"/>
      <c r="HS8" s="281"/>
      <c r="HT8" s="281"/>
      <c r="HU8" s="281"/>
      <c r="HV8" s="281"/>
      <c r="HW8" s="281"/>
      <c r="HX8" s="281"/>
      <c r="HY8" s="281"/>
      <c r="HZ8" s="281"/>
      <c r="IA8" s="281"/>
      <c r="IB8" s="281"/>
      <c r="IC8" s="281"/>
      <c r="ID8" s="281"/>
      <c r="IE8" s="281"/>
      <c r="IF8" s="281"/>
      <c r="IG8" s="281"/>
      <c r="IH8" s="281"/>
      <c r="II8" s="281"/>
      <c r="IJ8" s="281"/>
      <c r="IK8" s="281"/>
      <c r="IL8" s="281"/>
      <c r="IM8" s="281"/>
      <c r="IN8" s="281"/>
      <c r="IO8" s="281"/>
      <c r="IP8" s="282"/>
    </row>
    <row r="9" spans="1:250" ht="21" customHeight="1" x14ac:dyDescent="0.15">
      <c r="A9" s="283"/>
      <c r="B9" s="284"/>
      <c r="C9" s="332" t="s">
        <v>9</v>
      </c>
      <c r="D9" s="2655">
        <v>15.562897226000018</v>
      </c>
      <c r="E9" s="333">
        <f>85-((D9*85)/100)</f>
        <v>71.771537357899987</v>
      </c>
      <c r="F9" s="334">
        <v>6</v>
      </c>
      <c r="G9" s="288"/>
      <c r="H9" s="413" t="s">
        <v>16</v>
      </c>
      <c r="I9" s="2673">
        <f>Données!D50</f>
        <v>23.698975320605999</v>
      </c>
      <c r="J9" s="414">
        <f t="shared" si="1"/>
        <v>78.640819743515195</v>
      </c>
      <c r="K9" s="415">
        <v>6</v>
      </c>
      <c r="L9" s="288"/>
      <c r="M9" s="335" t="s">
        <v>17</v>
      </c>
      <c r="N9" s="504">
        <f>'H Topo'!K3</f>
        <v>30.591102728172</v>
      </c>
      <c r="O9" s="400">
        <f>'H Topo'!K4</f>
        <v>2.9909846494296217</v>
      </c>
      <c r="P9" s="401">
        <v>6</v>
      </c>
      <c r="Q9" s="288"/>
      <c r="R9" s="413" t="s">
        <v>16</v>
      </c>
      <c r="S9" s="436">
        <f>'H Topo'!J11</f>
        <v>1</v>
      </c>
      <c r="T9" s="436">
        <f>'H Topo'!J12</f>
        <v>1</v>
      </c>
      <c r="U9" s="436">
        <v>1</v>
      </c>
      <c r="V9" s="436">
        <f>'H Topo'!J14</f>
        <v>0</v>
      </c>
      <c r="W9" s="436">
        <f>'H Topo'!J15</f>
        <v>2</v>
      </c>
      <c r="X9" s="436">
        <f>'H Topo'!J16</f>
        <v>2</v>
      </c>
      <c r="Y9" s="436">
        <f>'H Topo'!J17</f>
        <v>0</v>
      </c>
      <c r="Z9" s="415">
        <f>'H Topo'!J19</f>
        <v>6</v>
      </c>
      <c r="AA9" s="420"/>
      <c r="AB9" s="16" t="s">
        <v>23</v>
      </c>
      <c r="AC9" s="434">
        <f>'H Topo'!F8</f>
        <v>-26.7</v>
      </c>
      <c r="AD9" s="434">
        <f>'H Topo'!F9</f>
        <v>1.1111111111090934</v>
      </c>
      <c r="AE9" s="2654">
        <v>6</v>
      </c>
      <c r="AF9" s="301"/>
      <c r="AG9" s="424"/>
      <c r="AH9" s="2089">
        <v>6</v>
      </c>
      <c r="AI9" s="318" t="s">
        <v>9</v>
      </c>
      <c r="AJ9" s="317">
        <v>27</v>
      </c>
      <c r="AK9" s="1751">
        <f t="shared" si="0"/>
        <v>5.4</v>
      </c>
      <c r="AL9" s="424"/>
      <c r="AM9" s="424"/>
      <c r="AN9" s="281"/>
      <c r="AO9" s="281"/>
      <c r="AP9" s="281"/>
      <c r="AQ9" s="281"/>
      <c r="AR9" s="281"/>
      <c r="AS9" s="281"/>
      <c r="AT9" s="281"/>
      <c r="AU9" s="281"/>
      <c r="AV9" s="281"/>
      <c r="AW9" s="281"/>
      <c r="AX9" s="281"/>
      <c r="AY9" s="281"/>
      <c r="AZ9" s="281"/>
      <c r="BA9" s="281"/>
      <c r="BB9" s="350"/>
      <c r="BC9" s="40"/>
      <c r="BD9" s="281"/>
      <c r="BE9" s="281"/>
      <c r="BF9" s="281"/>
      <c r="BG9" s="281"/>
      <c r="BH9" s="284"/>
      <c r="BI9" s="425"/>
      <c r="BJ9" s="426"/>
      <c r="BK9" s="427"/>
      <c r="BL9" s="395"/>
      <c r="BM9" s="390"/>
      <c r="BN9" s="391"/>
      <c r="BO9" s="395"/>
      <c r="BP9" s="390"/>
      <c r="BQ9" s="391"/>
      <c r="BR9" s="353"/>
      <c r="BS9" s="354"/>
      <c r="BT9" s="355"/>
      <c r="BU9" s="428"/>
      <c r="BV9" s="429"/>
      <c r="BW9" s="430"/>
      <c r="BX9" s="301"/>
      <c r="BY9" s="281"/>
      <c r="BZ9" s="281"/>
      <c r="CA9" s="281"/>
      <c r="CB9" s="281"/>
      <c r="CC9" s="281"/>
      <c r="CD9" s="281"/>
      <c r="CE9" s="281"/>
      <c r="CF9" s="281"/>
      <c r="CG9" s="281"/>
      <c r="CH9" s="281"/>
      <c r="CI9" s="281"/>
      <c r="CJ9" s="281"/>
      <c r="CK9" s="281"/>
      <c r="CL9" s="281"/>
      <c r="CM9" s="281"/>
      <c r="CN9" s="281"/>
      <c r="CO9" s="281"/>
      <c r="CP9" s="281"/>
      <c r="CQ9" s="281"/>
      <c r="CR9" s="281"/>
      <c r="CS9" s="281"/>
      <c r="CT9" s="281"/>
      <c r="CU9" s="281"/>
      <c r="CV9" s="281"/>
      <c r="CW9" s="281"/>
      <c r="CX9" s="281"/>
      <c r="CY9" s="281"/>
      <c r="CZ9" s="281"/>
      <c r="DA9" s="281"/>
      <c r="DB9" s="281"/>
      <c r="DC9" s="281"/>
      <c r="DD9" s="281"/>
      <c r="DE9" s="281"/>
      <c r="DF9" s="281"/>
      <c r="DG9" s="281"/>
      <c r="DH9" s="281"/>
      <c r="DI9" s="281"/>
      <c r="DJ9" s="281"/>
      <c r="DK9" s="281"/>
      <c r="DL9" s="281"/>
      <c r="DM9" s="281"/>
      <c r="DN9" s="281"/>
      <c r="DO9" s="281"/>
      <c r="DP9" s="281"/>
      <c r="DQ9" s="281"/>
      <c r="DR9" s="281"/>
      <c r="DS9" s="281"/>
      <c r="DT9" s="281"/>
      <c r="DU9" s="281"/>
      <c r="DV9" s="281"/>
      <c r="DW9" s="281"/>
      <c r="DX9" s="281"/>
      <c r="DY9" s="281"/>
      <c r="DZ9" s="281"/>
      <c r="EA9" s="281"/>
      <c r="EB9" s="281"/>
      <c r="EC9" s="281"/>
      <c r="ED9" s="281"/>
      <c r="EE9" s="281"/>
      <c r="EF9" s="281"/>
      <c r="EG9" s="281"/>
      <c r="EH9" s="281"/>
      <c r="EI9" s="281"/>
      <c r="EJ9" s="281"/>
      <c r="EK9" s="281"/>
      <c r="EL9" s="281"/>
      <c r="EM9" s="281"/>
      <c r="EN9" s="281"/>
      <c r="EO9" s="281"/>
      <c r="EP9" s="281"/>
      <c r="EQ9" s="281"/>
      <c r="ER9" s="281"/>
      <c r="ES9" s="281"/>
      <c r="ET9" s="281"/>
      <c r="EU9" s="281"/>
      <c r="EV9" s="281"/>
      <c r="EW9" s="281"/>
      <c r="EX9" s="281"/>
      <c r="EY9" s="281"/>
      <c r="EZ9" s="281"/>
      <c r="FA9" s="281"/>
      <c r="FB9" s="281"/>
      <c r="FC9" s="281"/>
      <c r="FD9" s="281"/>
      <c r="FE9" s="281"/>
      <c r="FF9" s="281"/>
      <c r="FG9" s="281"/>
      <c r="FH9" s="281"/>
      <c r="FI9" s="281"/>
      <c r="FJ9" s="281"/>
      <c r="FK9" s="281"/>
      <c r="FL9" s="281"/>
      <c r="FM9" s="281"/>
      <c r="FN9" s="281"/>
      <c r="FO9" s="281"/>
      <c r="FP9" s="281"/>
      <c r="FQ9" s="281"/>
      <c r="FR9" s="281"/>
      <c r="FS9" s="281"/>
      <c r="FT9" s="281"/>
      <c r="FU9" s="281"/>
      <c r="FV9" s="281"/>
      <c r="FW9" s="281"/>
      <c r="FX9" s="281"/>
      <c r="FY9" s="281"/>
      <c r="FZ9" s="281"/>
      <c r="GA9" s="281"/>
      <c r="GB9" s="281"/>
      <c r="GC9" s="281"/>
      <c r="GD9" s="281"/>
      <c r="GE9" s="281"/>
      <c r="GF9" s="281"/>
      <c r="GG9" s="281"/>
      <c r="GH9" s="281"/>
      <c r="GI9" s="281"/>
      <c r="GJ9" s="281"/>
      <c r="GK9" s="281"/>
      <c r="GL9" s="281"/>
      <c r="GM9" s="281"/>
      <c r="GN9" s="281"/>
      <c r="GO9" s="281"/>
      <c r="GP9" s="281"/>
      <c r="GQ9" s="281"/>
      <c r="GR9" s="281"/>
      <c r="GS9" s="281"/>
      <c r="GT9" s="281"/>
      <c r="GU9" s="281"/>
      <c r="GV9" s="281"/>
      <c r="GW9" s="281"/>
      <c r="GX9" s="281"/>
      <c r="GY9" s="281"/>
      <c r="GZ9" s="281"/>
      <c r="HA9" s="281"/>
      <c r="HB9" s="281"/>
      <c r="HC9" s="281"/>
      <c r="HD9" s="281"/>
      <c r="HE9" s="281"/>
      <c r="HF9" s="281"/>
      <c r="HG9" s="281"/>
      <c r="HH9" s="281"/>
      <c r="HI9" s="281"/>
      <c r="HJ9" s="281"/>
      <c r="HK9" s="281"/>
      <c r="HL9" s="281"/>
      <c r="HM9" s="281"/>
      <c r="HN9" s="281"/>
      <c r="HO9" s="281"/>
      <c r="HP9" s="281"/>
      <c r="HQ9" s="281"/>
      <c r="HR9" s="281"/>
      <c r="HS9" s="281"/>
      <c r="HT9" s="281"/>
      <c r="HU9" s="281"/>
      <c r="HV9" s="281"/>
      <c r="HW9" s="281"/>
      <c r="HX9" s="281"/>
      <c r="HY9" s="281"/>
      <c r="HZ9" s="281"/>
      <c r="IA9" s="281"/>
      <c r="IB9" s="281"/>
      <c r="IC9" s="281"/>
      <c r="ID9" s="281"/>
      <c r="IE9" s="281"/>
      <c r="IF9" s="281"/>
      <c r="IG9" s="281"/>
      <c r="IH9" s="281"/>
      <c r="II9" s="281"/>
      <c r="IJ9" s="281"/>
      <c r="IK9" s="281"/>
      <c r="IL9" s="281"/>
      <c r="IM9" s="281"/>
      <c r="IN9" s="281"/>
      <c r="IO9" s="281"/>
      <c r="IP9" s="282"/>
    </row>
    <row r="10" spans="1:250" ht="23" customHeight="1" x14ac:dyDescent="0.15">
      <c r="A10" s="283"/>
      <c r="B10" s="284"/>
      <c r="C10" s="304" t="s">
        <v>14</v>
      </c>
      <c r="D10" s="2658">
        <v>21.896000000000001</v>
      </c>
      <c r="E10" s="305">
        <f>90-((D10*90)/100)</f>
        <v>70.293599999999998</v>
      </c>
      <c r="F10" s="306">
        <v>7</v>
      </c>
      <c r="G10" s="288"/>
      <c r="H10" s="344" t="s">
        <v>18</v>
      </c>
      <c r="I10" s="1727">
        <f>Données!D52</f>
        <v>24.432702685660999</v>
      </c>
      <c r="J10" s="431">
        <f t="shared" si="1"/>
        <v>78.053837851471201</v>
      </c>
      <c r="K10" s="432">
        <v>7</v>
      </c>
      <c r="L10" s="288"/>
      <c r="M10" s="416" t="s">
        <v>16</v>
      </c>
      <c r="N10" s="983">
        <f>'H Topo'!J3</f>
        <v>20.023732295835</v>
      </c>
      <c r="O10" s="418">
        <f>'H Topo'!J4</f>
        <v>2.8299446280060905</v>
      </c>
      <c r="P10" s="419">
        <v>7</v>
      </c>
      <c r="Q10" s="288"/>
      <c r="R10" s="335" t="s">
        <v>17</v>
      </c>
      <c r="S10" s="2073">
        <f>'H Topo'!K11</f>
        <v>1</v>
      </c>
      <c r="T10" s="2073">
        <f>'H Topo'!K12</f>
        <v>1</v>
      </c>
      <c r="U10" s="2073">
        <f>'H Topo'!K13</f>
        <v>0</v>
      </c>
      <c r="V10" s="2073">
        <f>'H Topo'!K14</f>
        <v>0</v>
      </c>
      <c r="W10" s="2073">
        <f>'H Topo'!K15</f>
        <v>2</v>
      </c>
      <c r="X10" s="2073">
        <f>'H Topo'!K16</f>
        <v>1</v>
      </c>
      <c r="Y10" s="2073">
        <f>'H Topo'!K17</f>
        <v>0</v>
      </c>
      <c r="Z10" s="337">
        <f>'H Topo'!K19</f>
        <v>7</v>
      </c>
      <c r="AA10" s="437"/>
      <c r="AB10" s="413" t="s">
        <v>16</v>
      </c>
      <c r="AC10" s="418">
        <f>'H Topo'!J8</f>
        <v>6.12</v>
      </c>
      <c r="AD10" s="438">
        <f>'H Topo'!J9</f>
        <v>0.89887640449441464</v>
      </c>
      <c r="AE10" s="439">
        <v>7</v>
      </c>
      <c r="AF10" s="301"/>
      <c r="AG10" s="442"/>
      <c r="AH10" s="1762">
        <v>7</v>
      </c>
      <c r="AI10" s="372" t="s">
        <v>15</v>
      </c>
      <c r="AJ10" s="373">
        <v>34</v>
      </c>
      <c r="AK10" s="1749">
        <f t="shared" si="0"/>
        <v>6.8</v>
      </c>
      <c r="AL10" s="442"/>
      <c r="AM10" s="442"/>
      <c r="AN10" s="281"/>
      <c r="AO10" s="281"/>
      <c r="AP10" s="281"/>
      <c r="AQ10" s="281"/>
      <c r="AR10" s="281"/>
      <c r="AS10" s="281"/>
      <c r="AT10" s="281"/>
      <c r="AU10" s="281"/>
      <c r="AV10" s="281"/>
      <c r="AW10" s="281"/>
      <c r="AX10" s="281"/>
      <c r="AY10" s="281"/>
      <c r="AZ10" s="281"/>
      <c r="BA10" s="281"/>
      <c r="BB10" s="350"/>
      <c r="BC10" s="40"/>
      <c r="BD10" s="281"/>
      <c r="BE10" s="281"/>
      <c r="BF10" s="281"/>
      <c r="BG10" s="281"/>
      <c r="BH10" s="284"/>
      <c r="BI10" s="443"/>
      <c r="BJ10" s="354"/>
      <c r="BK10" s="355"/>
      <c r="BL10" s="374"/>
      <c r="BM10" s="375"/>
      <c r="BN10" s="376"/>
      <c r="BO10" s="323"/>
      <c r="BP10" s="324"/>
      <c r="BQ10" s="325"/>
      <c r="BR10" s="377"/>
      <c r="BS10" s="444"/>
      <c r="BT10" s="379"/>
      <c r="BU10" s="445"/>
      <c r="BV10" s="375"/>
      <c r="BW10" s="446"/>
      <c r="BX10" s="301"/>
      <c r="BY10" s="281"/>
      <c r="BZ10" s="281"/>
      <c r="CA10" s="281"/>
      <c r="CB10" s="281"/>
      <c r="CC10" s="281"/>
      <c r="CD10" s="281"/>
      <c r="CE10" s="281"/>
      <c r="CF10" s="281"/>
      <c r="CG10" s="281"/>
      <c r="CH10" s="281"/>
      <c r="CI10" s="281"/>
      <c r="CJ10" s="281"/>
      <c r="CK10" s="281"/>
      <c r="CL10" s="281"/>
      <c r="CM10" s="281"/>
      <c r="CN10" s="281"/>
      <c r="CO10" s="281"/>
      <c r="CP10" s="281"/>
      <c r="CQ10" s="281"/>
      <c r="CR10" s="281"/>
      <c r="CS10" s="281"/>
      <c r="CT10" s="281"/>
      <c r="CU10" s="281"/>
      <c r="CV10" s="281"/>
      <c r="CW10" s="281"/>
      <c r="CX10" s="281"/>
      <c r="CY10" s="281"/>
      <c r="CZ10" s="281"/>
      <c r="DA10" s="281"/>
      <c r="DB10" s="281"/>
      <c r="DC10" s="281"/>
      <c r="DD10" s="281"/>
      <c r="DE10" s="281"/>
      <c r="DF10" s="281"/>
      <c r="DG10" s="281"/>
      <c r="DH10" s="281"/>
      <c r="DI10" s="281"/>
      <c r="DJ10" s="281"/>
      <c r="DK10" s="281"/>
      <c r="DL10" s="281"/>
      <c r="DM10" s="281"/>
      <c r="DN10" s="281"/>
      <c r="DO10" s="281"/>
      <c r="DP10" s="281"/>
      <c r="DQ10" s="281"/>
      <c r="DR10" s="281"/>
      <c r="DS10" s="281"/>
      <c r="DT10" s="281"/>
      <c r="DU10" s="281"/>
      <c r="DV10" s="281"/>
      <c r="DW10" s="281"/>
      <c r="DX10" s="281"/>
      <c r="DY10" s="281"/>
      <c r="DZ10" s="281"/>
      <c r="EA10" s="281"/>
      <c r="EB10" s="281"/>
      <c r="EC10" s="281"/>
      <c r="ED10" s="281"/>
      <c r="EE10" s="281"/>
      <c r="EF10" s="281"/>
      <c r="EG10" s="281"/>
      <c r="EH10" s="281"/>
      <c r="EI10" s="281"/>
      <c r="EJ10" s="281"/>
      <c r="EK10" s="281"/>
      <c r="EL10" s="281"/>
      <c r="EM10" s="281"/>
      <c r="EN10" s="281"/>
      <c r="EO10" s="281"/>
      <c r="EP10" s="281"/>
      <c r="EQ10" s="281"/>
      <c r="ER10" s="281"/>
      <c r="ES10" s="281"/>
      <c r="ET10" s="281"/>
      <c r="EU10" s="281"/>
      <c r="EV10" s="281"/>
      <c r="EW10" s="281"/>
      <c r="EX10" s="281"/>
      <c r="EY10" s="281"/>
      <c r="EZ10" s="281"/>
      <c r="FA10" s="281"/>
      <c r="FB10" s="281"/>
      <c r="FC10" s="281"/>
      <c r="FD10" s="281"/>
      <c r="FE10" s="281"/>
      <c r="FF10" s="281"/>
      <c r="FG10" s="281"/>
      <c r="FH10" s="281"/>
      <c r="FI10" s="281"/>
      <c r="FJ10" s="281"/>
      <c r="FK10" s="281"/>
      <c r="FL10" s="281"/>
      <c r="FM10" s="281"/>
      <c r="FN10" s="281"/>
      <c r="FO10" s="281"/>
      <c r="FP10" s="281"/>
      <c r="FQ10" s="281"/>
      <c r="FR10" s="281"/>
      <c r="FS10" s="281"/>
      <c r="FT10" s="281"/>
      <c r="FU10" s="281"/>
      <c r="FV10" s="281"/>
      <c r="FW10" s="281"/>
      <c r="FX10" s="281"/>
      <c r="FY10" s="281"/>
      <c r="FZ10" s="281"/>
      <c r="GA10" s="281"/>
      <c r="GB10" s="281"/>
      <c r="GC10" s="281"/>
      <c r="GD10" s="281"/>
      <c r="GE10" s="281"/>
      <c r="GF10" s="281"/>
      <c r="GG10" s="281"/>
      <c r="GH10" s="281"/>
      <c r="GI10" s="281"/>
      <c r="GJ10" s="281"/>
      <c r="GK10" s="281"/>
      <c r="GL10" s="281"/>
      <c r="GM10" s="281"/>
      <c r="GN10" s="281"/>
      <c r="GO10" s="281"/>
      <c r="GP10" s="281"/>
      <c r="GQ10" s="281"/>
      <c r="GR10" s="281"/>
      <c r="GS10" s="281"/>
      <c r="GT10" s="281"/>
      <c r="GU10" s="281"/>
      <c r="GV10" s="281"/>
      <c r="GW10" s="281"/>
      <c r="GX10" s="281"/>
      <c r="GY10" s="281"/>
      <c r="GZ10" s="281"/>
      <c r="HA10" s="281"/>
      <c r="HB10" s="281"/>
      <c r="HC10" s="281"/>
      <c r="HD10" s="281"/>
      <c r="HE10" s="281"/>
      <c r="HF10" s="281"/>
      <c r="HG10" s="281"/>
      <c r="HH10" s="281"/>
      <c r="HI10" s="281"/>
      <c r="HJ10" s="281"/>
      <c r="HK10" s="281"/>
      <c r="HL10" s="281"/>
      <c r="HM10" s="281"/>
      <c r="HN10" s="281"/>
      <c r="HO10" s="281"/>
      <c r="HP10" s="281"/>
      <c r="HQ10" s="281"/>
      <c r="HR10" s="281"/>
      <c r="HS10" s="281"/>
      <c r="HT10" s="281"/>
      <c r="HU10" s="281"/>
      <c r="HV10" s="281"/>
      <c r="HW10" s="281"/>
      <c r="HX10" s="281"/>
      <c r="HY10" s="281"/>
      <c r="HZ10" s="281"/>
      <c r="IA10" s="281"/>
      <c r="IB10" s="281"/>
      <c r="IC10" s="281"/>
      <c r="ID10" s="281"/>
      <c r="IE10" s="281"/>
      <c r="IF10" s="281"/>
      <c r="IG10" s="281"/>
      <c r="IH10" s="281"/>
      <c r="II10" s="281"/>
      <c r="IJ10" s="281"/>
      <c r="IK10" s="281"/>
      <c r="IL10" s="281"/>
      <c r="IM10" s="281"/>
      <c r="IN10" s="281"/>
      <c r="IO10" s="281"/>
      <c r="IP10" s="282"/>
    </row>
    <row r="11" spans="1:250" ht="21" customHeight="1" x14ac:dyDescent="0.15">
      <c r="A11" s="283"/>
      <c r="B11" s="284"/>
      <c r="C11" s="16" t="s">
        <v>23</v>
      </c>
      <c r="D11" s="2664">
        <v>33.763335187000003</v>
      </c>
      <c r="E11" s="382">
        <f>100-((D11*100)/100)</f>
        <v>66.236664813000004</v>
      </c>
      <c r="F11" s="342">
        <v>8</v>
      </c>
      <c r="G11" s="288"/>
      <c r="H11" s="332" t="s">
        <v>9</v>
      </c>
      <c r="I11" s="2081">
        <f>Données!D43</f>
        <v>27.563484664609</v>
      </c>
      <c r="J11" s="333">
        <f t="shared" si="1"/>
        <v>75.5492122683128</v>
      </c>
      <c r="K11" s="334">
        <v>8</v>
      </c>
      <c r="L11" s="288"/>
      <c r="M11" s="11" t="s">
        <v>13</v>
      </c>
      <c r="N11" s="737">
        <f>'H Topo'!G3</f>
        <v>2.4501554357469999</v>
      </c>
      <c r="O11" s="502">
        <f>'H Topo'!G4</f>
        <v>1.0065433499184109</v>
      </c>
      <c r="P11" s="503">
        <v>8</v>
      </c>
      <c r="Q11" s="288"/>
      <c r="R11" s="332" t="s">
        <v>9</v>
      </c>
      <c r="S11" s="367">
        <f>'H Topo'!C11</f>
        <v>0</v>
      </c>
      <c r="T11" s="367">
        <f>'H Topo'!C12</f>
        <v>2</v>
      </c>
      <c r="U11" s="367">
        <f>'H Topo'!C13</f>
        <v>3</v>
      </c>
      <c r="V11" s="367">
        <f>'H Topo'!C14</f>
        <v>0</v>
      </c>
      <c r="W11" s="367">
        <f>'H Topo'!C15</f>
        <v>0</v>
      </c>
      <c r="X11" s="367">
        <f>'H Topo'!C16</f>
        <v>0</v>
      </c>
      <c r="Y11" s="367">
        <f>'H Topo'!C17</f>
        <v>0</v>
      </c>
      <c r="Z11" s="334">
        <f>'H Topo'!C19</f>
        <v>8</v>
      </c>
      <c r="AA11" s="452"/>
      <c r="AB11" s="11" t="s">
        <v>13</v>
      </c>
      <c r="AC11" s="502">
        <f>'H Topo'!G8</f>
        <v>1.67</v>
      </c>
      <c r="AD11" s="502">
        <f>'H Topo'!G9</f>
        <v>0.76767676767676596</v>
      </c>
      <c r="AE11" s="1728">
        <v>8</v>
      </c>
      <c r="AF11" s="301"/>
      <c r="AG11" s="455"/>
      <c r="AH11" s="1945">
        <v>8</v>
      </c>
      <c r="AI11" s="440" t="s">
        <v>13</v>
      </c>
      <c r="AJ11" s="441">
        <v>34</v>
      </c>
      <c r="AK11" s="1752">
        <f t="shared" si="0"/>
        <v>6.8</v>
      </c>
      <c r="AL11" s="455"/>
      <c r="AM11" s="455"/>
      <c r="AN11" s="281"/>
      <c r="AO11" s="281"/>
      <c r="AP11" s="281"/>
      <c r="AQ11" s="281"/>
      <c r="AR11" s="281"/>
      <c r="AS11" s="281"/>
      <c r="AT11" s="281"/>
      <c r="AU11" s="281"/>
      <c r="AV11" s="281"/>
      <c r="AW11" s="281"/>
      <c r="AX11" s="281"/>
      <c r="AY11" s="281"/>
      <c r="AZ11" s="281"/>
      <c r="BA11" s="281"/>
      <c r="BB11" s="350"/>
      <c r="BC11" s="40"/>
      <c r="BD11" s="281"/>
      <c r="BE11" s="281"/>
      <c r="BF11" s="281"/>
      <c r="BG11" s="281"/>
      <c r="BH11" s="284"/>
      <c r="BI11" s="456"/>
      <c r="BJ11" s="457"/>
      <c r="BK11" s="458"/>
      <c r="BL11" s="377"/>
      <c r="BM11" s="378"/>
      <c r="BN11" s="379"/>
      <c r="BO11" s="459"/>
      <c r="BP11" s="460"/>
      <c r="BQ11" s="461"/>
      <c r="BR11" s="408"/>
      <c r="BS11" s="409"/>
      <c r="BT11" s="410"/>
      <c r="BU11" s="462"/>
      <c r="BV11" s="463"/>
      <c r="BW11" s="464"/>
      <c r="BX11" s="301"/>
      <c r="BY11" s="281"/>
      <c r="BZ11" s="281"/>
      <c r="CA11" s="281"/>
      <c r="CB11" s="281"/>
      <c r="CC11" s="281"/>
      <c r="CD11" s="281"/>
      <c r="CE11" s="281"/>
      <c r="CF11" s="281"/>
      <c r="CG11" s="281"/>
      <c r="CH11" s="281"/>
      <c r="CI11" s="281"/>
      <c r="CJ11" s="281"/>
      <c r="CK11" s="281"/>
      <c r="CL11" s="281"/>
      <c r="CM11" s="281"/>
      <c r="CN11" s="281"/>
      <c r="CO11" s="281"/>
      <c r="CP11" s="281"/>
      <c r="CQ11" s="281"/>
      <c r="CR11" s="281"/>
      <c r="CS11" s="281"/>
      <c r="CT11" s="281"/>
      <c r="CU11" s="281"/>
      <c r="CV11" s="281"/>
      <c r="CW11" s="281"/>
      <c r="CX11" s="281"/>
      <c r="CY11" s="281"/>
      <c r="CZ11" s="281"/>
      <c r="DA11" s="281"/>
      <c r="DB11" s="281"/>
      <c r="DC11" s="281"/>
      <c r="DD11" s="281"/>
      <c r="DE11" s="281"/>
      <c r="DF11" s="281"/>
      <c r="DG11" s="281"/>
      <c r="DH11" s="281"/>
      <c r="DI11" s="281"/>
      <c r="DJ11" s="281"/>
      <c r="DK11" s="281"/>
      <c r="DL11" s="281"/>
      <c r="DM11" s="281"/>
      <c r="DN11" s="281"/>
      <c r="DO11" s="281"/>
      <c r="DP11" s="281"/>
      <c r="DQ11" s="281"/>
      <c r="DR11" s="281"/>
      <c r="DS11" s="281"/>
      <c r="DT11" s="281"/>
      <c r="DU11" s="281"/>
      <c r="DV11" s="281"/>
      <c r="DW11" s="281"/>
      <c r="DX11" s="281"/>
      <c r="DY11" s="281"/>
      <c r="DZ11" s="281"/>
      <c r="EA11" s="281"/>
      <c r="EB11" s="281"/>
      <c r="EC11" s="281"/>
      <c r="ED11" s="281"/>
      <c r="EE11" s="281"/>
      <c r="EF11" s="281"/>
      <c r="EG11" s="281"/>
      <c r="EH11" s="281"/>
      <c r="EI11" s="281"/>
      <c r="EJ11" s="281"/>
      <c r="EK11" s="281"/>
      <c r="EL11" s="281"/>
      <c r="EM11" s="281"/>
      <c r="EN11" s="281"/>
      <c r="EO11" s="281"/>
      <c r="EP11" s="281"/>
      <c r="EQ11" s="281"/>
      <c r="ER11" s="281"/>
      <c r="ES11" s="281"/>
      <c r="ET11" s="281"/>
      <c r="EU11" s="281"/>
      <c r="EV11" s="281"/>
      <c r="EW11" s="281"/>
      <c r="EX11" s="281"/>
      <c r="EY11" s="281"/>
      <c r="EZ11" s="281"/>
      <c r="FA11" s="281"/>
      <c r="FB11" s="281"/>
      <c r="FC11" s="281"/>
      <c r="FD11" s="281"/>
      <c r="FE11" s="281"/>
      <c r="FF11" s="281"/>
      <c r="FG11" s="281"/>
      <c r="FH11" s="281"/>
      <c r="FI11" s="281"/>
      <c r="FJ11" s="281"/>
      <c r="FK11" s="281"/>
      <c r="FL11" s="281"/>
      <c r="FM11" s="281"/>
      <c r="FN11" s="281"/>
      <c r="FO11" s="281"/>
      <c r="FP11" s="281"/>
      <c r="FQ11" s="281"/>
      <c r="FR11" s="281"/>
      <c r="FS11" s="281"/>
      <c r="FT11" s="281"/>
      <c r="FU11" s="281"/>
      <c r="FV11" s="281"/>
      <c r="FW11" s="281"/>
      <c r="FX11" s="281"/>
      <c r="FY11" s="281"/>
      <c r="FZ11" s="281"/>
      <c r="GA11" s="281"/>
      <c r="GB11" s="281"/>
      <c r="GC11" s="281"/>
      <c r="GD11" s="281"/>
      <c r="GE11" s="281"/>
      <c r="GF11" s="281"/>
      <c r="GG11" s="281"/>
      <c r="GH11" s="281"/>
      <c r="GI11" s="281"/>
      <c r="GJ11" s="281"/>
      <c r="GK11" s="281"/>
      <c r="GL11" s="281"/>
      <c r="GM11" s="281"/>
      <c r="GN11" s="281"/>
      <c r="GO11" s="281"/>
      <c r="GP11" s="281"/>
      <c r="GQ11" s="281"/>
      <c r="GR11" s="281"/>
      <c r="GS11" s="281"/>
      <c r="GT11" s="281"/>
      <c r="GU11" s="281"/>
      <c r="GV11" s="281"/>
      <c r="GW11" s="281"/>
      <c r="GX11" s="281"/>
      <c r="GY11" s="281"/>
      <c r="GZ11" s="281"/>
      <c r="HA11" s="281"/>
      <c r="HB11" s="281"/>
      <c r="HC11" s="281"/>
      <c r="HD11" s="281"/>
      <c r="HE11" s="281"/>
      <c r="HF11" s="281"/>
      <c r="HG11" s="281"/>
      <c r="HH11" s="281"/>
      <c r="HI11" s="281"/>
      <c r="HJ11" s="281"/>
      <c r="HK11" s="281"/>
      <c r="HL11" s="281"/>
      <c r="HM11" s="281"/>
      <c r="HN11" s="281"/>
      <c r="HO11" s="281"/>
      <c r="HP11" s="281"/>
      <c r="HQ11" s="281"/>
      <c r="HR11" s="281"/>
      <c r="HS11" s="281"/>
      <c r="HT11" s="281"/>
      <c r="HU11" s="281"/>
      <c r="HV11" s="281"/>
      <c r="HW11" s="281"/>
      <c r="HX11" s="281"/>
      <c r="HY11" s="281"/>
      <c r="HZ11" s="281"/>
      <c r="IA11" s="281"/>
      <c r="IB11" s="281"/>
      <c r="IC11" s="281"/>
      <c r="ID11" s="281"/>
      <c r="IE11" s="281"/>
      <c r="IF11" s="281"/>
      <c r="IG11" s="281"/>
      <c r="IH11" s="281"/>
      <c r="II11" s="281"/>
      <c r="IJ11" s="281"/>
      <c r="IK11" s="281"/>
      <c r="IL11" s="281"/>
      <c r="IM11" s="281"/>
      <c r="IN11" s="281"/>
      <c r="IO11" s="281"/>
      <c r="IP11" s="282"/>
    </row>
    <row r="12" spans="1:250" ht="21" customHeight="1" x14ac:dyDescent="0.15">
      <c r="A12" s="283"/>
      <c r="B12" s="284"/>
      <c r="C12" s="313" t="s">
        <v>10</v>
      </c>
      <c r="D12" s="2656">
        <v>33.526000000000003</v>
      </c>
      <c r="E12" s="466">
        <f>90-((D12*90)/100)</f>
        <v>59.826599999999999</v>
      </c>
      <c r="F12" s="467">
        <v>9</v>
      </c>
      <c r="G12" s="288"/>
      <c r="H12" s="11" t="s">
        <v>13</v>
      </c>
      <c r="I12" s="2080">
        <f>Données!D47</f>
        <v>12.586773605461</v>
      </c>
      <c r="J12" s="302">
        <f>80-(((22-I12)*80)/100)</f>
        <v>72.469418884368793</v>
      </c>
      <c r="K12" s="303">
        <v>9</v>
      </c>
      <c r="L12" s="288"/>
      <c r="M12" s="449" t="s">
        <v>11</v>
      </c>
      <c r="N12" s="551">
        <f>'H Topo'!E3</f>
        <v>1.6019588482030001</v>
      </c>
      <c r="O12" s="468">
        <f>'H Topo'!E4</f>
        <v>0.94265554865107437</v>
      </c>
      <c r="P12" s="469">
        <v>9</v>
      </c>
      <c r="Q12" s="288"/>
      <c r="R12" s="307" t="s">
        <v>15</v>
      </c>
      <c r="S12" s="402">
        <f>'H Topo'!I11</f>
        <v>0</v>
      </c>
      <c r="T12" s="402">
        <f>'H Topo'!I12</f>
        <v>0</v>
      </c>
      <c r="U12" s="402">
        <f>'H Topo'!I13</f>
        <v>0</v>
      </c>
      <c r="V12" s="402">
        <f>'H Topo'!I14</f>
        <v>2</v>
      </c>
      <c r="W12" s="402">
        <f>'H Topo'!I15</f>
        <v>0</v>
      </c>
      <c r="X12" s="402">
        <f>'H Topo'!I16</f>
        <v>0</v>
      </c>
      <c r="Y12" s="402">
        <f>'H Topo'!I17</f>
        <v>1</v>
      </c>
      <c r="Z12" s="363">
        <f>'H Topo'!I19</f>
        <v>9</v>
      </c>
      <c r="AA12" s="472"/>
      <c r="AB12" s="307" t="s">
        <v>15</v>
      </c>
      <c r="AC12" s="309">
        <f>'H Topo'!I8</f>
        <v>1.43</v>
      </c>
      <c r="AD12" s="309">
        <f>'H Topo'!I9</f>
        <v>0.44554455445544605</v>
      </c>
      <c r="AE12" s="404">
        <v>9</v>
      </c>
      <c r="AF12" s="301"/>
      <c r="AG12" s="475"/>
      <c r="AH12" s="2676">
        <v>9</v>
      </c>
      <c r="AI12" s="347" t="s">
        <v>14</v>
      </c>
      <c r="AJ12" s="348">
        <v>35</v>
      </c>
      <c r="AK12" s="2680">
        <f t="shared" si="0"/>
        <v>7</v>
      </c>
      <c r="AL12" s="475"/>
      <c r="AM12" s="475"/>
      <c r="AN12" s="281"/>
      <c r="AO12" s="281"/>
      <c r="AP12" s="281"/>
      <c r="AQ12" s="281"/>
      <c r="AR12" s="281"/>
      <c r="AS12" s="281"/>
      <c r="AT12" s="281"/>
      <c r="AU12" s="281"/>
      <c r="AV12" s="281"/>
      <c r="AW12" s="281"/>
      <c r="AX12" s="281"/>
      <c r="AY12" s="281"/>
      <c r="AZ12" s="281"/>
      <c r="BA12" s="281"/>
      <c r="BB12" s="350"/>
      <c r="BC12" s="40"/>
      <c r="BD12" s="281"/>
      <c r="BE12" s="281"/>
      <c r="BF12" s="281"/>
      <c r="BG12" s="281"/>
      <c r="BH12" s="284"/>
      <c r="BI12" s="476"/>
      <c r="BJ12" s="378"/>
      <c r="BK12" s="379"/>
      <c r="BL12" s="477"/>
      <c r="BM12" s="87"/>
      <c r="BN12" s="322"/>
      <c r="BO12" s="374"/>
      <c r="BP12" s="375"/>
      <c r="BQ12" s="376"/>
      <c r="BR12" s="459"/>
      <c r="BS12" s="460"/>
      <c r="BT12" s="461"/>
      <c r="BU12" s="478"/>
      <c r="BV12" s="393"/>
      <c r="BW12" s="479"/>
      <c r="BX12" s="301"/>
      <c r="BY12" s="281"/>
      <c r="BZ12" s="281"/>
      <c r="CA12" s="281"/>
      <c r="CB12" s="281"/>
      <c r="CC12" s="281"/>
      <c r="CD12" s="281"/>
      <c r="CE12" s="281"/>
      <c r="CF12" s="281"/>
      <c r="CG12" s="281"/>
      <c r="CH12" s="281"/>
      <c r="CI12" s="281"/>
      <c r="CJ12" s="281"/>
      <c r="CK12" s="281"/>
      <c r="CL12" s="281"/>
      <c r="CM12" s="281"/>
      <c r="CN12" s="281"/>
      <c r="CO12" s="281"/>
      <c r="CP12" s="281"/>
      <c r="CQ12" s="281"/>
      <c r="CR12" s="281"/>
      <c r="CS12" s="281"/>
      <c r="CT12" s="281"/>
      <c r="CU12" s="281"/>
      <c r="CV12" s="281"/>
      <c r="CW12" s="281"/>
      <c r="CX12" s="281"/>
      <c r="CY12" s="281"/>
      <c r="CZ12" s="281"/>
      <c r="DA12" s="281"/>
      <c r="DB12" s="281"/>
      <c r="DC12" s="281"/>
      <c r="DD12" s="281"/>
      <c r="DE12" s="281"/>
      <c r="DF12" s="281"/>
      <c r="DG12" s="281"/>
      <c r="DH12" s="281"/>
      <c r="DI12" s="281"/>
      <c r="DJ12" s="281"/>
      <c r="DK12" s="281"/>
      <c r="DL12" s="281"/>
      <c r="DM12" s="281"/>
      <c r="DN12" s="281"/>
      <c r="DO12" s="281"/>
      <c r="DP12" s="281"/>
      <c r="DQ12" s="281"/>
      <c r="DR12" s="281"/>
      <c r="DS12" s="281"/>
      <c r="DT12" s="281"/>
      <c r="DU12" s="281"/>
      <c r="DV12" s="281"/>
      <c r="DW12" s="281"/>
      <c r="DX12" s="281"/>
      <c r="DY12" s="281"/>
      <c r="DZ12" s="281"/>
      <c r="EA12" s="281"/>
      <c r="EB12" s="281"/>
      <c r="EC12" s="281"/>
      <c r="ED12" s="281"/>
      <c r="EE12" s="281"/>
      <c r="EF12" s="281"/>
      <c r="EG12" s="281"/>
      <c r="EH12" s="281"/>
      <c r="EI12" s="281"/>
      <c r="EJ12" s="281"/>
      <c r="EK12" s="281"/>
      <c r="EL12" s="281"/>
      <c r="EM12" s="281"/>
      <c r="EN12" s="281"/>
      <c r="EO12" s="281"/>
      <c r="EP12" s="281"/>
      <c r="EQ12" s="281"/>
      <c r="ER12" s="281"/>
      <c r="ES12" s="281"/>
      <c r="ET12" s="281"/>
      <c r="EU12" s="281"/>
      <c r="EV12" s="281"/>
      <c r="EW12" s="281"/>
      <c r="EX12" s="281"/>
      <c r="EY12" s="281"/>
      <c r="EZ12" s="281"/>
      <c r="FA12" s="281"/>
      <c r="FB12" s="281"/>
      <c r="FC12" s="281"/>
      <c r="FD12" s="281"/>
      <c r="FE12" s="281"/>
      <c r="FF12" s="281"/>
      <c r="FG12" s="281"/>
      <c r="FH12" s="281"/>
      <c r="FI12" s="281"/>
      <c r="FJ12" s="281"/>
      <c r="FK12" s="281"/>
      <c r="FL12" s="281"/>
      <c r="FM12" s="281"/>
      <c r="FN12" s="281"/>
      <c r="FO12" s="281"/>
      <c r="FP12" s="281"/>
      <c r="FQ12" s="281"/>
      <c r="FR12" s="281"/>
      <c r="FS12" s="281"/>
      <c r="FT12" s="281"/>
      <c r="FU12" s="281"/>
      <c r="FV12" s="281"/>
      <c r="FW12" s="281"/>
      <c r="FX12" s="281"/>
      <c r="FY12" s="281"/>
      <c r="FZ12" s="281"/>
      <c r="GA12" s="281"/>
      <c r="GB12" s="281"/>
      <c r="GC12" s="281"/>
      <c r="GD12" s="281"/>
      <c r="GE12" s="281"/>
      <c r="GF12" s="281"/>
      <c r="GG12" s="281"/>
      <c r="GH12" s="281"/>
      <c r="GI12" s="281"/>
      <c r="GJ12" s="281"/>
      <c r="GK12" s="281"/>
      <c r="GL12" s="281"/>
      <c r="GM12" s="281"/>
      <c r="GN12" s="281"/>
      <c r="GO12" s="281"/>
      <c r="GP12" s="281"/>
      <c r="GQ12" s="281"/>
      <c r="GR12" s="281"/>
      <c r="GS12" s="281"/>
      <c r="GT12" s="281"/>
      <c r="GU12" s="281"/>
      <c r="GV12" s="281"/>
      <c r="GW12" s="281"/>
      <c r="GX12" s="281"/>
      <c r="GY12" s="281"/>
      <c r="GZ12" s="281"/>
      <c r="HA12" s="281"/>
      <c r="HB12" s="281"/>
      <c r="HC12" s="281"/>
      <c r="HD12" s="281"/>
      <c r="HE12" s="281"/>
      <c r="HF12" s="281"/>
      <c r="HG12" s="281"/>
      <c r="HH12" s="281"/>
      <c r="HI12" s="281"/>
      <c r="HJ12" s="281"/>
      <c r="HK12" s="281"/>
      <c r="HL12" s="281"/>
      <c r="HM12" s="281"/>
      <c r="HN12" s="281"/>
      <c r="HO12" s="281"/>
      <c r="HP12" s="281"/>
      <c r="HQ12" s="281"/>
      <c r="HR12" s="281"/>
      <c r="HS12" s="281"/>
      <c r="HT12" s="281"/>
      <c r="HU12" s="281"/>
      <c r="HV12" s="281"/>
      <c r="HW12" s="281"/>
      <c r="HX12" s="281"/>
      <c r="HY12" s="281"/>
      <c r="HZ12" s="281"/>
      <c r="IA12" s="281"/>
      <c r="IB12" s="281"/>
      <c r="IC12" s="281"/>
      <c r="ID12" s="281"/>
      <c r="IE12" s="281"/>
      <c r="IF12" s="281"/>
      <c r="IG12" s="281"/>
      <c r="IH12" s="281"/>
      <c r="II12" s="281"/>
      <c r="IJ12" s="281"/>
      <c r="IK12" s="281"/>
      <c r="IL12" s="281"/>
      <c r="IM12" s="281"/>
      <c r="IN12" s="281"/>
      <c r="IO12" s="281"/>
      <c r="IP12" s="282"/>
    </row>
    <row r="13" spans="1:250" ht="21" customHeight="1" x14ac:dyDescent="0.15">
      <c r="A13" s="283"/>
      <c r="B13" s="284"/>
      <c r="C13" s="556" t="s">
        <v>15</v>
      </c>
      <c r="D13" s="2671">
        <v>48.054664813000002</v>
      </c>
      <c r="E13" s="2672">
        <f>100-((D13*100)/100)</f>
        <v>51.945335186999998</v>
      </c>
      <c r="F13" s="2611">
        <v>10</v>
      </c>
      <c r="G13" s="288"/>
      <c r="H13" s="558" t="s">
        <v>14</v>
      </c>
      <c r="I13" s="2674">
        <f>Données!D48</f>
        <v>32.705316695716</v>
      </c>
      <c r="J13" s="2675">
        <f>80-(((I13-22)*80)/100)</f>
        <v>71.435746643427194</v>
      </c>
      <c r="K13" s="559">
        <v>10</v>
      </c>
      <c r="L13" s="288"/>
      <c r="M13" s="558" t="s">
        <v>14</v>
      </c>
      <c r="N13" s="2759">
        <f>'H Topo'!H3</f>
        <v>6.401307282596</v>
      </c>
      <c r="O13" s="2458">
        <f>'H Topo'!H4</f>
        <v>0.27727760421355618</v>
      </c>
      <c r="P13" s="2459">
        <v>10</v>
      </c>
      <c r="Q13" s="288"/>
      <c r="R13" s="480" t="s">
        <v>11</v>
      </c>
      <c r="S13" s="2665">
        <f>'H Topo'!E11</f>
        <v>0</v>
      </c>
      <c r="T13" s="2665">
        <f>'H Topo'!E12</f>
        <v>0</v>
      </c>
      <c r="U13" s="2665">
        <f>'H Topo'!E13</f>
        <v>0</v>
      </c>
      <c r="V13" s="2665">
        <f>'H Topo'!E14</f>
        <v>0</v>
      </c>
      <c r="W13" s="2665">
        <f>'H Topo'!E15</f>
        <v>2</v>
      </c>
      <c r="X13" s="2665">
        <f>'H Topo'!E16</f>
        <v>0</v>
      </c>
      <c r="Y13" s="2665">
        <f>'H Topo'!E17</f>
        <v>0</v>
      </c>
      <c r="Z13" s="2666">
        <f>'H Topo'!E19</f>
        <v>10</v>
      </c>
      <c r="AA13" s="472"/>
      <c r="AB13" s="480" t="s">
        <v>11</v>
      </c>
      <c r="AC13" s="1613">
        <f>'H Topo'!E8</f>
        <v>-3.37</v>
      </c>
      <c r="AD13" s="1613">
        <f>'H Topo'!E9</f>
        <v>0.36842105263157798</v>
      </c>
      <c r="AE13" s="2667">
        <v>10</v>
      </c>
      <c r="AF13" s="301"/>
      <c r="AG13" s="481"/>
      <c r="AH13" s="2677">
        <v>10</v>
      </c>
      <c r="AI13" s="2678" t="s">
        <v>11</v>
      </c>
      <c r="AJ13" s="2679">
        <v>36</v>
      </c>
      <c r="AK13" s="2681">
        <f t="shared" si="0"/>
        <v>7.2</v>
      </c>
      <c r="AL13" s="481"/>
      <c r="AM13" s="481"/>
      <c r="AN13" s="281"/>
      <c r="AO13" s="281"/>
      <c r="AP13" s="281"/>
      <c r="AQ13" s="281"/>
      <c r="AR13" s="281"/>
      <c r="AS13" s="281"/>
      <c r="AT13" s="281"/>
      <c r="AU13" s="281"/>
      <c r="AV13" s="281"/>
      <c r="AW13" s="281"/>
      <c r="AX13" s="281"/>
      <c r="AY13" s="281"/>
      <c r="AZ13" s="281"/>
      <c r="BA13" s="281"/>
      <c r="BB13" s="350"/>
      <c r="BC13" s="40"/>
      <c r="BD13" s="281"/>
      <c r="BE13" s="281"/>
      <c r="BF13" s="281"/>
      <c r="BG13" s="281"/>
      <c r="BH13" s="284"/>
      <c r="BI13" s="482"/>
      <c r="BJ13" s="393"/>
      <c r="BK13" s="394"/>
      <c r="BL13" s="459"/>
      <c r="BM13" s="460"/>
      <c r="BN13" s="461"/>
      <c r="BO13" s="392"/>
      <c r="BP13" s="393"/>
      <c r="BQ13" s="394"/>
      <c r="BR13" s="323"/>
      <c r="BS13" s="324"/>
      <c r="BT13" s="325"/>
      <c r="BU13" s="483"/>
      <c r="BV13" s="460"/>
      <c r="BW13" s="484"/>
      <c r="BX13" s="301"/>
      <c r="BY13" s="281"/>
      <c r="BZ13" s="281"/>
      <c r="CA13" s="281"/>
      <c r="CB13" s="281"/>
      <c r="CC13" s="281"/>
      <c r="CD13" s="281"/>
      <c r="CE13" s="281"/>
      <c r="CF13" s="281"/>
      <c r="CG13" s="281"/>
      <c r="CH13" s="281"/>
      <c r="CI13" s="281"/>
      <c r="CJ13" s="281"/>
      <c r="CK13" s="281"/>
      <c r="CL13" s="281"/>
      <c r="CM13" s="281"/>
      <c r="CN13" s="281"/>
      <c r="CO13" s="281"/>
      <c r="CP13" s="281"/>
      <c r="CQ13" s="281"/>
      <c r="CR13" s="281"/>
      <c r="CS13" s="281"/>
      <c r="CT13" s="281"/>
      <c r="CU13" s="281"/>
      <c r="CV13" s="281"/>
      <c r="CW13" s="281"/>
      <c r="CX13" s="281"/>
      <c r="CY13" s="281"/>
      <c r="CZ13" s="281"/>
      <c r="DA13" s="281"/>
      <c r="DB13" s="281"/>
      <c r="DC13" s="281"/>
      <c r="DD13" s="281"/>
      <c r="DE13" s="281"/>
      <c r="DF13" s="281"/>
      <c r="DG13" s="281"/>
      <c r="DH13" s="281"/>
      <c r="DI13" s="281"/>
      <c r="DJ13" s="281"/>
      <c r="DK13" s="281"/>
      <c r="DL13" s="281"/>
      <c r="DM13" s="281"/>
      <c r="DN13" s="281"/>
      <c r="DO13" s="281"/>
      <c r="DP13" s="281"/>
      <c r="DQ13" s="281"/>
      <c r="DR13" s="281"/>
      <c r="DS13" s="281"/>
      <c r="DT13" s="281"/>
      <c r="DU13" s="281"/>
      <c r="DV13" s="281"/>
      <c r="DW13" s="281"/>
      <c r="DX13" s="281"/>
      <c r="DY13" s="281"/>
      <c r="DZ13" s="281"/>
      <c r="EA13" s="281"/>
      <c r="EB13" s="281"/>
      <c r="EC13" s="281"/>
      <c r="ED13" s="281"/>
      <c r="EE13" s="281"/>
      <c r="EF13" s="281"/>
      <c r="EG13" s="281"/>
      <c r="EH13" s="281"/>
      <c r="EI13" s="281"/>
      <c r="EJ13" s="281"/>
      <c r="EK13" s="281"/>
      <c r="EL13" s="281"/>
      <c r="EM13" s="281"/>
      <c r="EN13" s="281"/>
      <c r="EO13" s="281"/>
      <c r="EP13" s="281"/>
      <c r="EQ13" s="281"/>
      <c r="ER13" s="281"/>
      <c r="ES13" s="281"/>
      <c r="ET13" s="281"/>
      <c r="EU13" s="281"/>
      <c r="EV13" s="281"/>
      <c r="EW13" s="281"/>
      <c r="EX13" s="281"/>
      <c r="EY13" s="281"/>
      <c r="EZ13" s="281"/>
      <c r="FA13" s="281"/>
      <c r="FB13" s="281"/>
      <c r="FC13" s="281"/>
      <c r="FD13" s="281"/>
      <c r="FE13" s="281"/>
      <c r="FF13" s="281"/>
      <c r="FG13" s="281"/>
      <c r="FH13" s="281"/>
      <c r="FI13" s="281"/>
      <c r="FJ13" s="281"/>
      <c r="FK13" s="281"/>
      <c r="FL13" s="281"/>
      <c r="FM13" s="281"/>
      <c r="FN13" s="281"/>
      <c r="FO13" s="281"/>
      <c r="FP13" s="281"/>
      <c r="FQ13" s="281"/>
      <c r="FR13" s="281"/>
      <c r="FS13" s="281"/>
      <c r="FT13" s="281"/>
      <c r="FU13" s="281"/>
      <c r="FV13" s="281"/>
      <c r="FW13" s="281"/>
      <c r="FX13" s="281"/>
      <c r="FY13" s="281"/>
      <c r="FZ13" s="281"/>
      <c r="GA13" s="281"/>
      <c r="GB13" s="281"/>
      <c r="GC13" s="281"/>
      <c r="GD13" s="281"/>
      <c r="GE13" s="281"/>
      <c r="GF13" s="281"/>
      <c r="GG13" s="281"/>
      <c r="GH13" s="281"/>
      <c r="GI13" s="281"/>
      <c r="GJ13" s="281"/>
      <c r="GK13" s="281"/>
      <c r="GL13" s="281"/>
      <c r="GM13" s="281"/>
      <c r="GN13" s="281"/>
      <c r="GO13" s="281"/>
      <c r="GP13" s="281"/>
      <c r="GQ13" s="281"/>
      <c r="GR13" s="281"/>
      <c r="GS13" s="281"/>
      <c r="GT13" s="281"/>
      <c r="GU13" s="281"/>
      <c r="GV13" s="281"/>
      <c r="GW13" s="281"/>
      <c r="GX13" s="281"/>
      <c r="GY13" s="281"/>
      <c r="GZ13" s="281"/>
      <c r="HA13" s="281"/>
      <c r="HB13" s="281"/>
      <c r="HC13" s="281"/>
      <c r="HD13" s="281"/>
      <c r="HE13" s="281"/>
      <c r="HF13" s="281"/>
      <c r="HG13" s="281"/>
      <c r="HH13" s="281"/>
      <c r="HI13" s="281"/>
      <c r="HJ13" s="281"/>
      <c r="HK13" s="281"/>
      <c r="HL13" s="281"/>
      <c r="HM13" s="281"/>
      <c r="HN13" s="281"/>
      <c r="HO13" s="281"/>
      <c r="HP13" s="281"/>
      <c r="HQ13" s="281"/>
      <c r="HR13" s="281"/>
      <c r="HS13" s="281"/>
      <c r="HT13" s="281"/>
      <c r="HU13" s="281"/>
      <c r="HV13" s="281"/>
      <c r="HW13" s="281"/>
      <c r="HX13" s="281"/>
      <c r="HY13" s="281"/>
      <c r="HZ13" s="281"/>
      <c r="IA13" s="281"/>
      <c r="IB13" s="281"/>
      <c r="IC13" s="281"/>
      <c r="ID13" s="281"/>
      <c r="IE13" s="281"/>
      <c r="IF13" s="281"/>
      <c r="IG13" s="281"/>
      <c r="IH13" s="281"/>
      <c r="II13" s="281"/>
      <c r="IJ13" s="281"/>
      <c r="IK13" s="281"/>
      <c r="IL13" s="281"/>
      <c r="IM13" s="281"/>
      <c r="IN13" s="281"/>
      <c r="IO13" s="281"/>
      <c r="IP13" s="282"/>
    </row>
    <row r="14" spans="1:250" ht="8" customHeight="1" x14ac:dyDescent="0.15">
      <c r="A14" s="283"/>
      <c r="B14" s="281"/>
      <c r="C14" s="485"/>
      <c r="D14" s="485"/>
      <c r="E14" s="485"/>
      <c r="F14" s="485"/>
      <c r="G14" s="281"/>
      <c r="H14" s="485"/>
      <c r="I14" s="485"/>
      <c r="J14" s="485"/>
      <c r="K14" s="485"/>
      <c r="L14" s="281"/>
      <c r="M14" s="485"/>
      <c r="N14" s="485"/>
      <c r="O14" s="485"/>
      <c r="P14" s="485"/>
      <c r="Q14" s="281"/>
      <c r="R14" s="485"/>
      <c r="S14" s="485"/>
      <c r="T14" s="485"/>
      <c r="U14" s="485"/>
      <c r="V14" s="485"/>
      <c r="W14" s="485"/>
      <c r="X14" s="485"/>
      <c r="Y14" s="485"/>
      <c r="Z14" s="485"/>
      <c r="AA14" s="281"/>
      <c r="AB14" s="485"/>
      <c r="AC14" s="485"/>
      <c r="AD14" s="485"/>
      <c r="AE14" s="485"/>
      <c r="AF14" s="281"/>
      <c r="AG14" s="281"/>
      <c r="AH14" s="281"/>
      <c r="AI14" s="489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1"/>
      <c r="AV14" s="281"/>
      <c r="AW14" s="281"/>
      <c r="AX14" s="281"/>
      <c r="AY14" s="281"/>
      <c r="AZ14" s="281"/>
      <c r="BA14" s="281"/>
      <c r="BB14" s="281"/>
      <c r="BC14" s="281"/>
      <c r="BD14" s="281"/>
      <c r="BE14" s="281"/>
      <c r="BF14" s="281"/>
      <c r="BG14" s="281"/>
      <c r="BH14" s="284"/>
      <c r="BI14" s="2808" t="s">
        <v>152</v>
      </c>
      <c r="BJ14" s="2809"/>
      <c r="BK14" s="2809"/>
      <c r="BL14" s="2808" t="s">
        <v>153</v>
      </c>
      <c r="BM14" s="2809"/>
      <c r="BN14" s="2809"/>
      <c r="BO14" s="2808" t="s">
        <v>154</v>
      </c>
      <c r="BP14" s="2809"/>
      <c r="BQ14" s="2809"/>
      <c r="BR14" s="2814" t="s">
        <v>155</v>
      </c>
      <c r="BS14" s="2815"/>
      <c r="BT14" s="2815"/>
      <c r="BU14" s="2808" t="s">
        <v>156</v>
      </c>
      <c r="BV14" s="2809"/>
      <c r="BW14" s="2809"/>
      <c r="BX14" s="301"/>
      <c r="BY14" s="281"/>
      <c r="BZ14" s="281"/>
      <c r="CA14" s="281"/>
      <c r="CB14" s="281"/>
      <c r="CC14" s="281"/>
      <c r="CD14" s="281"/>
      <c r="CE14" s="281"/>
      <c r="CF14" s="281"/>
      <c r="CG14" s="281"/>
      <c r="CH14" s="281"/>
      <c r="CI14" s="281"/>
      <c r="CJ14" s="281"/>
      <c r="CK14" s="281"/>
      <c r="CL14" s="281"/>
      <c r="CM14" s="281"/>
      <c r="CN14" s="281"/>
      <c r="CO14" s="281"/>
      <c r="CP14" s="281"/>
      <c r="CQ14" s="281"/>
      <c r="CR14" s="281"/>
      <c r="CS14" s="281"/>
      <c r="CT14" s="281"/>
      <c r="CU14" s="281"/>
      <c r="CV14" s="281"/>
      <c r="CW14" s="281"/>
      <c r="CX14" s="281"/>
      <c r="CY14" s="281"/>
      <c r="CZ14" s="281"/>
      <c r="DA14" s="281"/>
      <c r="DB14" s="281"/>
      <c r="DC14" s="281"/>
      <c r="DD14" s="281"/>
      <c r="DE14" s="281"/>
      <c r="DF14" s="281"/>
      <c r="DG14" s="281"/>
      <c r="DH14" s="281"/>
      <c r="DI14" s="281"/>
      <c r="DJ14" s="281"/>
      <c r="DK14" s="281"/>
      <c r="DL14" s="281"/>
      <c r="DM14" s="281"/>
      <c r="DN14" s="281"/>
      <c r="DO14" s="281"/>
      <c r="DP14" s="281"/>
      <c r="DQ14" s="281"/>
      <c r="DR14" s="281"/>
      <c r="DS14" s="281"/>
      <c r="DT14" s="281"/>
      <c r="DU14" s="281"/>
      <c r="DV14" s="281"/>
      <c r="DW14" s="281"/>
      <c r="DX14" s="281"/>
      <c r="DY14" s="281"/>
      <c r="DZ14" s="281"/>
      <c r="EA14" s="281"/>
      <c r="EB14" s="281"/>
      <c r="EC14" s="281"/>
      <c r="ED14" s="281"/>
      <c r="EE14" s="281"/>
      <c r="EF14" s="281"/>
      <c r="EG14" s="281"/>
      <c r="EH14" s="281"/>
      <c r="EI14" s="281"/>
      <c r="EJ14" s="281"/>
      <c r="EK14" s="281"/>
      <c r="EL14" s="281"/>
      <c r="EM14" s="281"/>
      <c r="EN14" s="281"/>
      <c r="EO14" s="281"/>
      <c r="EP14" s="281"/>
      <c r="EQ14" s="281"/>
      <c r="ER14" s="281"/>
      <c r="ES14" s="281"/>
      <c r="ET14" s="281"/>
      <c r="EU14" s="281"/>
      <c r="EV14" s="281"/>
      <c r="EW14" s="281"/>
      <c r="EX14" s="281"/>
      <c r="EY14" s="281"/>
      <c r="EZ14" s="281"/>
      <c r="FA14" s="281"/>
      <c r="FB14" s="281"/>
      <c r="FC14" s="281"/>
      <c r="FD14" s="281"/>
      <c r="FE14" s="281"/>
      <c r="FF14" s="281"/>
      <c r="FG14" s="281"/>
      <c r="FH14" s="281"/>
      <c r="FI14" s="281"/>
      <c r="FJ14" s="281"/>
      <c r="FK14" s="281"/>
      <c r="FL14" s="281"/>
      <c r="FM14" s="281"/>
      <c r="FN14" s="281"/>
      <c r="FO14" s="281"/>
      <c r="FP14" s="281"/>
      <c r="FQ14" s="281"/>
      <c r="FR14" s="281"/>
      <c r="FS14" s="281"/>
      <c r="FT14" s="281"/>
      <c r="FU14" s="281"/>
      <c r="FV14" s="281"/>
      <c r="FW14" s="281"/>
      <c r="FX14" s="281"/>
      <c r="FY14" s="281"/>
      <c r="FZ14" s="281"/>
      <c r="GA14" s="281"/>
      <c r="GB14" s="281"/>
      <c r="GC14" s="281"/>
      <c r="GD14" s="281"/>
      <c r="GE14" s="281"/>
      <c r="GF14" s="281"/>
      <c r="GG14" s="281"/>
      <c r="GH14" s="281"/>
      <c r="GI14" s="281"/>
      <c r="GJ14" s="281"/>
      <c r="GK14" s="281"/>
      <c r="GL14" s="281"/>
      <c r="GM14" s="281"/>
      <c r="GN14" s="281"/>
      <c r="GO14" s="281"/>
      <c r="GP14" s="281"/>
      <c r="GQ14" s="281"/>
      <c r="GR14" s="281"/>
      <c r="GS14" s="281"/>
      <c r="GT14" s="281"/>
      <c r="GU14" s="281"/>
      <c r="GV14" s="281"/>
      <c r="GW14" s="281"/>
      <c r="GX14" s="281"/>
      <c r="GY14" s="281"/>
      <c r="GZ14" s="281"/>
      <c r="HA14" s="281"/>
      <c r="HB14" s="281"/>
      <c r="HC14" s="281"/>
      <c r="HD14" s="281"/>
      <c r="HE14" s="281"/>
      <c r="HF14" s="281"/>
      <c r="HG14" s="281"/>
      <c r="HH14" s="281"/>
      <c r="HI14" s="281"/>
      <c r="HJ14" s="281"/>
      <c r="HK14" s="281"/>
      <c r="HL14" s="281"/>
      <c r="HM14" s="281"/>
      <c r="HN14" s="281"/>
      <c r="HO14" s="281"/>
      <c r="HP14" s="281"/>
      <c r="HQ14" s="281"/>
      <c r="HR14" s="281"/>
      <c r="HS14" s="281"/>
      <c r="HT14" s="281"/>
      <c r="HU14" s="281"/>
      <c r="HV14" s="281"/>
      <c r="HW14" s="281"/>
      <c r="HX14" s="281"/>
      <c r="HY14" s="281"/>
      <c r="HZ14" s="281"/>
      <c r="IA14" s="281"/>
      <c r="IB14" s="281"/>
      <c r="IC14" s="281"/>
      <c r="ID14" s="281"/>
      <c r="IE14" s="281"/>
      <c r="IF14" s="281"/>
      <c r="IG14" s="281"/>
      <c r="IH14" s="281"/>
      <c r="II14" s="281"/>
      <c r="IJ14" s="281"/>
      <c r="IK14" s="281"/>
      <c r="IL14" s="281"/>
      <c r="IM14" s="281"/>
      <c r="IN14" s="281"/>
      <c r="IO14" s="281"/>
      <c r="IP14" s="282"/>
    </row>
    <row r="15" spans="1:250" ht="13" customHeight="1" x14ac:dyDescent="0.15">
      <c r="A15" s="283"/>
      <c r="B15" s="281"/>
      <c r="C15" s="2810" t="s">
        <v>409</v>
      </c>
      <c r="D15" s="2811"/>
      <c r="E15" s="2811"/>
      <c r="F15" s="2811"/>
      <c r="G15" s="281"/>
      <c r="H15" s="2818" t="s">
        <v>480</v>
      </c>
      <c r="I15" s="2819"/>
      <c r="J15" s="2819"/>
      <c r="K15" s="2819"/>
      <c r="L15" s="487"/>
      <c r="M15" s="281"/>
      <c r="N15" s="488" t="s">
        <v>142</v>
      </c>
      <c r="O15" s="486"/>
      <c r="P15" s="486"/>
      <c r="Q15" s="486"/>
      <c r="R15" s="2818" t="s">
        <v>157</v>
      </c>
      <c r="S15" s="2819"/>
      <c r="T15" s="2819"/>
      <c r="U15" s="2819"/>
      <c r="V15" s="2819"/>
      <c r="W15" s="2819"/>
      <c r="X15" s="2819"/>
      <c r="Y15" s="2819"/>
      <c r="Z15" s="2819"/>
      <c r="AA15" s="281"/>
      <c r="AB15" s="2818" t="s">
        <v>142</v>
      </c>
      <c r="AC15" s="2819"/>
      <c r="AD15" s="2819"/>
      <c r="AE15" s="2819"/>
      <c r="AF15" s="281"/>
      <c r="AG15" s="281"/>
      <c r="AH15" s="281"/>
      <c r="AI15" s="489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281"/>
      <c r="BH15" s="281"/>
      <c r="BI15" s="485"/>
      <c r="BJ15" s="485"/>
      <c r="BK15" s="485"/>
      <c r="BL15" s="485"/>
      <c r="BM15" s="485"/>
      <c r="BN15" s="485"/>
      <c r="BO15" s="485"/>
      <c r="BP15" s="485"/>
      <c r="BQ15" s="485"/>
      <c r="BR15" s="485"/>
      <c r="BS15" s="485"/>
      <c r="BT15" s="485"/>
      <c r="BU15" s="485"/>
      <c r="BV15" s="485"/>
      <c r="BW15" s="485"/>
      <c r="BX15" s="281"/>
      <c r="BY15" s="281"/>
      <c r="BZ15" s="281"/>
      <c r="CA15" s="281"/>
      <c r="CB15" s="281"/>
      <c r="CC15" s="281"/>
      <c r="CD15" s="281"/>
      <c r="CE15" s="281"/>
      <c r="CF15" s="281"/>
      <c r="CG15" s="281"/>
      <c r="CH15" s="281"/>
      <c r="CI15" s="281"/>
      <c r="CJ15" s="281"/>
      <c r="CK15" s="281"/>
      <c r="CL15" s="281"/>
      <c r="CM15" s="281"/>
      <c r="CN15" s="281"/>
      <c r="CO15" s="281"/>
      <c r="CP15" s="281"/>
      <c r="CQ15" s="281"/>
      <c r="CR15" s="281"/>
      <c r="CS15" s="281"/>
      <c r="CT15" s="281"/>
      <c r="CU15" s="281"/>
      <c r="CV15" s="281"/>
      <c r="CW15" s="281"/>
      <c r="CX15" s="281"/>
      <c r="CY15" s="281"/>
      <c r="CZ15" s="281"/>
      <c r="DA15" s="281"/>
      <c r="DB15" s="281"/>
      <c r="DC15" s="281"/>
      <c r="DD15" s="281"/>
      <c r="DE15" s="281"/>
      <c r="DF15" s="281"/>
      <c r="DG15" s="281"/>
      <c r="DH15" s="281"/>
      <c r="DI15" s="281"/>
      <c r="DJ15" s="281"/>
      <c r="DK15" s="281"/>
      <c r="DL15" s="281"/>
      <c r="DM15" s="281"/>
      <c r="DN15" s="281"/>
      <c r="DO15" s="281"/>
      <c r="DP15" s="281"/>
      <c r="DQ15" s="281"/>
      <c r="DR15" s="281"/>
      <c r="DS15" s="281"/>
      <c r="DT15" s="281"/>
      <c r="DU15" s="281"/>
      <c r="DV15" s="281"/>
      <c r="DW15" s="281"/>
      <c r="DX15" s="281"/>
      <c r="DY15" s="281"/>
      <c r="DZ15" s="281"/>
      <c r="EA15" s="281"/>
      <c r="EB15" s="281"/>
      <c r="EC15" s="281"/>
      <c r="ED15" s="281"/>
      <c r="EE15" s="281"/>
      <c r="EF15" s="281"/>
      <c r="EG15" s="281"/>
      <c r="EH15" s="281"/>
      <c r="EI15" s="281"/>
      <c r="EJ15" s="281"/>
      <c r="EK15" s="281"/>
      <c r="EL15" s="281"/>
      <c r="EM15" s="281"/>
      <c r="EN15" s="281"/>
      <c r="EO15" s="281"/>
      <c r="EP15" s="281"/>
      <c r="EQ15" s="281"/>
      <c r="ER15" s="281"/>
      <c r="ES15" s="281"/>
      <c r="ET15" s="281"/>
      <c r="EU15" s="281"/>
      <c r="EV15" s="281"/>
      <c r="EW15" s="281"/>
      <c r="EX15" s="281"/>
      <c r="EY15" s="281"/>
      <c r="EZ15" s="281"/>
      <c r="FA15" s="281"/>
      <c r="FB15" s="281"/>
      <c r="FC15" s="281"/>
      <c r="FD15" s="281"/>
      <c r="FE15" s="281"/>
      <c r="FF15" s="281"/>
      <c r="FG15" s="281"/>
      <c r="FH15" s="281"/>
      <c r="FI15" s="281"/>
      <c r="FJ15" s="281"/>
      <c r="FK15" s="281"/>
      <c r="FL15" s="281"/>
      <c r="FM15" s="281"/>
      <c r="FN15" s="281"/>
      <c r="FO15" s="281"/>
      <c r="FP15" s="281"/>
      <c r="FQ15" s="281"/>
      <c r="FR15" s="281"/>
      <c r="FS15" s="281"/>
      <c r="FT15" s="281"/>
      <c r="FU15" s="281"/>
      <c r="FV15" s="281"/>
      <c r="FW15" s="281"/>
      <c r="FX15" s="281"/>
      <c r="FY15" s="281"/>
      <c r="FZ15" s="281"/>
      <c r="GA15" s="281"/>
      <c r="GB15" s="281"/>
      <c r="GC15" s="281"/>
      <c r="GD15" s="281"/>
      <c r="GE15" s="281"/>
      <c r="GF15" s="281"/>
      <c r="GG15" s="281"/>
      <c r="GH15" s="281"/>
      <c r="GI15" s="281"/>
      <c r="GJ15" s="281"/>
      <c r="GK15" s="281"/>
      <c r="GL15" s="281"/>
      <c r="GM15" s="281"/>
      <c r="GN15" s="281"/>
      <c r="GO15" s="281"/>
      <c r="GP15" s="281"/>
      <c r="GQ15" s="281"/>
      <c r="GR15" s="281"/>
      <c r="GS15" s="281"/>
      <c r="GT15" s="281"/>
      <c r="GU15" s="281"/>
      <c r="GV15" s="281"/>
      <c r="GW15" s="281"/>
      <c r="GX15" s="281"/>
      <c r="GY15" s="281"/>
      <c r="GZ15" s="281"/>
      <c r="HA15" s="281"/>
      <c r="HB15" s="281"/>
      <c r="HC15" s="281"/>
      <c r="HD15" s="281"/>
      <c r="HE15" s="281"/>
      <c r="HF15" s="281"/>
      <c r="HG15" s="281"/>
      <c r="HH15" s="281"/>
      <c r="HI15" s="281"/>
      <c r="HJ15" s="281"/>
      <c r="HK15" s="281"/>
      <c r="HL15" s="281"/>
      <c r="HM15" s="281"/>
      <c r="HN15" s="281"/>
      <c r="HO15" s="281"/>
      <c r="HP15" s="281"/>
      <c r="HQ15" s="281"/>
      <c r="HR15" s="281"/>
      <c r="HS15" s="281"/>
      <c r="HT15" s="281"/>
      <c r="HU15" s="281"/>
      <c r="HV15" s="281"/>
      <c r="HW15" s="281"/>
      <c r="HX15" s="281"/>
      <c r="HY15" s="281"/>
      <c r="HZ15" s="281"/>
      <c r="IA15" s="281"/>
      <c r="IB15" s="281"/>
      <c r="IC15" s="281"/>
      <c r="ID15" s="281"/>
      <c r="IE15" s="281"/>
      <c r="IF15" s="281"/>
      <c r="IG15" s="281"/>
      <c r="IH15" s="281"/>
      <c r="II15" s="281"/>
      <c r="IJ15" s="281"/>
      <c r="IK15" s="281"/>
      <c r="IL15" s="281"/>
      <c r="IM15" s="281"/>
      <c r="IN15" s="281"/>
      <c r="IO15" s="281"/>
      <c r="IP15" s="282"/>
    </row>
    <row r="16" spans="1:250" ht="11" customHeight="1" x14ac:dyDescent="0.15">
      <c r="A16" s="283"/>
      <c r="B16" s="281"/>
      <c r="C16" s="2029"/>
      <c r="D16" s="2030"/>
      <c r="E16" s="2030"/>
      <c r="F16" s="2030"/>
      <c r="G16" s="281"/>
      <c r="H16" s="2818" t="s">
        <v>481</v>
      </c>
      <c r="I16" s="2818"/>
      <c r="J16" s="2818"/>
      <c r="K16" s="2818"/>
      <c r="L16" s="487"/>
      <c r="M16" s="281"/>
      <c r="N16" s="488"/>
      <c r="O16" s="2032"/>
      <c r="P16" s="2032"/>
      <c r="Q16" s="2032"/>
      <c r="R16" s="2031"/>
      <c r="S16" s="2032"/>
      <c r="T16" s="2032"/>
      <c r="U16" s="2032"/>
      <c r="V16" s="2032"/>
      <c r="W16" s="2032"/>
      <c r="X16" s="2032"/>
      <c r="Y16" s="2032"/>
      <c r="Z16" s="2032"/>
      <c r="AA16" s="281"/>
      <c r="AB16" s="2031"/>
      <c r="AC16" s="2032"/>
      <c r="AD16" s="2032"/>
      <c r="AE16" s="2032"/>
      <c r="AF16" s="281"/>
      <c r="AG16" s="281"/>
      <c r="AH16" s="281"/>
      <c r="AI16" s="489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  <c r="AT16" s="281"/>
      <c r="AU16" s="281"/>
      <c r="AV16" s="281"/>
      <c r="AW16" s="281"/>
      <c r="AX16" s="281"/>
      <c r="AY16" s="281"/>
      <c r="AZ16" s="281"/>
      <c r="BA16" s="281"/>
      <c r="BB16" s="281"/>
      <c r="BC16" s="281"/>
      <c r="BD16" s="281"/>
      <c r="BE16" s="281"/>
      <c r="BF16" s="281"/>
      <c r="BG16" s="281"/>
      <c r="BH16" s="281"/>
      <c r="BI16" s="281"/>
      <c r="BJ16" s="281"/>
      <c r="BK16" s="281"/>
      <c r="BL16" s="281"/>
      <c r="BM16" s="281"/>
      <c r="BN16" s="281"/>
      <c r="BO16" s="281"/>
      <c r="BP16" s="281"/>
      <c r="BQ16" s="281"/>
      <c r="BR16" s="281"/>
      <c r="BS16" s="281"/>
      <c r="BT16" s="281"/>
      <c r="BU16" s="281"/>
      <c r="BV16" s="281"/>
      <c r="BW16" s="281"/>
      <c r="BX16" s="281"/>
      <c r="BY16" s="281"/>
      <c r="BZ16" s="281"/>
      <c r="CA16" s="281"/>
      <c r="CB16" s="281"/>
      <c r="CC16" s="281"/>
      <c r="CD16" s="281"/>
      <c r="CE16" s="281"/>
      <c r="CF16" s="281"/>
      <c r="CG16" s="281"/>
      <c r="CH16" s="281"/>
      <c r="CI16" s="281"/>
      <c r="CJ16" s="281"/>
      <c r="CK16" s="281"/>
      <c r="CL16" s="281"/>
      <c r="CM16" s="281"/>
      <c r="CN16" s="281"/>
      <c r="CO16" s="281"/>
      <c r="CP16" s="281"/>
      <c r="CQ16" s="281"/>
      <c r="CR16" s="281"/>
      <c r="CS16" s="281"/>
      <c r="CT16" s="281"/>
      <c r="CU16" s="281"/>
      <c r="CV16" s="281"/>
      <c r="CW16" s="281"/>
      <c r="CX16" s="281"/>
      <c r="CY16" s="281"/>
      <c r="CZ16" s="281"/>
      <c r="DA16" s="281"/>
      <c r="DB16" s="281"/>
      <c r="DC16" s="281"/>
      <c r="DD16" s="281"/>
      <c r="DE16" s="281"/>
      <c r="DF16" s="281"/>
      <c r="DG16" s="281"/>
      <c r="DH16" s="281"/>
      <c r="DI16" s="281"/>
      <c r="DJ16" s="281"/>
      <c r="DK16" s="281"/>
      <c r="DL16" s="281"/>
      <c r="DM16" s="281"/>
      <c r="DN16" s="281"/>
      <c r="DO16" s="281"/>
      <c r="DP16" s="281"/>
      <c r="DQ16" s="281"/>
      <c r="DR16" s="281"/>
      <c r="DS16" s="281"/>
      <c r="DT16" s="281"/>
      <c r="DU16" s="281"/>
      <c r="DV16" s="281"/>
      <c r="DW16" s="281"/>
      <c r="DX16" s="281"/>
      <c r="DY16" s="281"/>
      <c r="DZ16" s="281"/>
      <c r="EA16" s="281"/>
      <c r="EB16" s="281"/>
      <c r="EC16" s="281"/>
      <c r="ED16" s="281"/>
      <c r="EE16" s="281"/>
      <c r="EF16" s="281"/>
      <c r="EG16" s="281"/>
      <c r="EH16" s="281"/>
      <c r="EI16" s="281"/>
      <c r="EJ16" s="281"/>
      <c r="EK16" s="281"/>
      <c r="EL16" s="281"/>
      <c r="EM16" s="281"/>
      <c r="EN16" s="281"/>
      <c r="EO16" s="281"/>
      <c r="EP16" s="281"/>
      <c r="EQ16" s="281"/>
      <c r="ER16" s="281"/>
      <c r="ES16" s="281"/>
      <c r="ET16" s="281"/>
      <c r="EU16" s="281"/>
      <c r="EV16" s="281"/>
      <c r="EW16" s="281"/>
      <c r="EX16" s="281"/>
      <c r="EY16" s="281"/>
      <c r="EZ16" s="281"/>
      <c r="FA16" s="281"/>
      <c r="FB16" s="281"/>
      <c r="FC16" s="281"/>
      <c r="FD16" s="281"/>
      <c r="FE16" s="281"/>
      <c r="FF16" s="281"/>
      <c r="FG16" s="281"/>
      <c r="FH16" s="281"/>
      <c r="FI16" s="281"/>
      <c r="FJ16" s="281"/>
      <c r="FK16" s="281"/>
      <c r="FL16" s="281"/>
      <c r="FM16" s="281"/>
      <c r="FN16" s="281"/>
      <c r="FO16" s="281"/>
      <c r="FP16" s="281"/>
      <c r="FQ16" s="281"/>
      <c r="FR16" s="281"/>
      <c r="FS16" s="281"/>
      <c r="FT16" s="281"/>
      <c r="FU16" s="281"/>
      <c r="FV16" s="281"/>
      <c r="FW16" s="281"/>
      <c r="FX16" s="281"/>
      <c r="FY16" s="281"/>
      <c r="FZ16" s="281"/>
      <c r="GA16" s="281"/>
      <c r="GB16" s="281"/>
      <c r="GC16" s="281"/>
      <c r="GD16" s="281"/>
      <c r="GE16" s="281"/>
      <c r="GF16" s="281"/>
      <c r="GG16" s="281"/>
      <c r="GH16" s="281"/>
      <c r="GI16" s="281"/>
      <c r="GJ16" s="281"/>
      <c r="GK16" s="281"/>
      <c r="GL16" s="281"/>
      <c r="GM16" s="281"/>
      <c r="GN16" s="281"/>
      <c r="GO16" s="281"/>
      <c r="GP16" s="281"/>
      <c r="GQ16" s="281"/>
      <c r="GR16" s="281"/>
      <c r="GS16" s="281"/>
      <c r="GT16" s="281"/>
      <c r="GU16" s="281"/>
      <c r="GV16" s="281"/>
      <c r="GW16" s="281"/>
      <c r="GX16" s="281"/>
      <c r="GY16" s="281"/>
      <c r="GZ16" s="281"/>
      <c r="HA16" s="281"/>
      <c r="HB16" s="281"/>
      <c r="HC16" s="281"/>
      <c r="HD16" s="281"/>
      <c r="HE16" s="281"/>
      <c r="HF16" s="281"/>
      <c r="HG16" s="281"/>
      <c r="HH16" s="281"/>
      <c r="HI16" s="281"/>
      <c r="HJ16" s="281"/>
      <c r="HK16" s="281"/>
      <c r="HL16" s="281"/>
      <c r="HM16" s="281"/>
      <c r="HN16" s="281"/>
      <c r="HO16" s="281"/>
      <c r="HP16" s="281"/>
      <c r="HQ16" s="281"/>
      <c r="HR16" s="281"/>
      <c r="HS16" s="281"/>
      <c r="HT16" s="281"/>
      <c r="HU16" s="281"/>
      <c r="HV16" s="281"/>
      <c r="HW16" s="281"/>
      <c r="HX16" s="281"/>
      <c r="HY16" s="281"/>
      <c r="HZ16" s="281"/>
      <c r="IA16" s="281"/>
      <c r="IB16" s="281"/>
      <c r="IC16" s="281"/>
      <c r="ID16" s="281"/>
      <c r="IE16" s="281"/>
      <c r="IF16" s="281"/>
      <c r="IG16" s="281"/>
      <c r="IH16" s="281"/>
      <c r="II16" s="281"/>
      <c r="IJ16" s="281"/>
      <c r="IK16" s="281"/>
      <c r="IL16" s="281"/>
      <c r="IM16" s="281"/>
      <c r="IN16" s="281"/>
      <c r="IO16" s="281"/>
      <c r="IP16" s="282"/>
    </row>
    <row r="17" spans="1:250" ht="8" customHeight="1" x14ac:dyDescent="0.15">
      <c r="A17" s="278"/>
      <c r="B17" s="40"/>
      <c r="C17" s="490"/>
      <c r="D17" s="490"/>
      <c r="E17" s="490"/>
      <c r="F17" s="490"/>
      <c r="G17" s="40"/>
      <c r="H17" s="490"/>
      <c r="I17" s="490"/>
      <c r="J17" s="490"/>
      <c r="K17" s="490"/>
      <c r="L17" s="40"/>
      <c r="M17" s="490"/>
      <c r="N17" s="490"/>
      <c r="O17" s="490"/>
      <c r="P17" s="490"/>
      <c r="Q17" s="40"/>
      <c r="R17" s="490"/>
      <c r="S17" s="490"/>
      <c r="T17" s="490"/>
      <c r="U17" s="490"/>
      <c r="V17" s="490"/>
      <c r="W17" s="490"/>
      <c r="X17" s="490"/>
      <c r="Y17" s="490"/>
      <c r="Z17" s="490"/>
      <c r="AA17" s="40"/>
      <c r="AB17" s="490"/>
      <c r="AC17" s="490"/>
      <c r="AD17" s="490"/>
      <c r="AE17" s="490"/>
      <c r="AF17" s="40"/>
      <c r="AG17" s="40"/>
      <c r="AH17" s="40"/>
      <c r="AI17" s="240"/>
      <c r="AJ17" s="40"/>
      <c r="AK17" s="40"/>
      <c r="AL17" s="40"/>
      <c r="AM17" s="40"/>
      <c r="AN17" s="40"/>
      <c r="AO17" s="2816"/>
      <c r="AP17" s="2817"/>
      <c r="AQ17" s="2817"/>
      <c r="AR17" s="2817"/>
      <c r="AS17" s="2817"/>
      <c r="AT17" s="2817"/>
      <c r="AU17" s="2817"/>
      <c r="AV17" s="2817"/>
      <c r="AW17" s="2817"/>
      <c r="AX17" s="2817"/>
      <c r="AY17" s="2817"/>
      <c r="AZ17" s="2817"/>
      <c r="BA17" s="40"/>
      <c r="BB17" s="40"/>
      <c r="BC17" s="40"/>
      <c r="BD17" s="40"/>
      <c r="BE17" s="40"/>
      <c r="BF17" s="40"/>
      <c r="BG17" s="40"/>
      <c r="BH17" s="40"/>
      <c r="BI17" s="493"/>
      <c r="BJ17" s="493"/>
      <c r="BK17" s="493"/>
      <c r="BL17" s="493"/>
      <c r="BM17" s="493"/>
      <c r="BN17" s="281"/>
      <c r="BO17" s="281"/>
      <c r="BP17" s="40"/>
      <c r="BQ17" s="40"/>
      <c r="BR17" s="281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281"/>
      <c r="IM17" s="281"/>
      <c r="IN17" s="281"/>
      <c r="IO17" s="281"/>
      <c r="IP17" s="282"/>
    </row>
    <row r="18" spans="1:250" ht="20" customHeight="1" x14ac:dyDescent="0.15">
      <c r="A18" s="494"/>
      <c r="B18" s="495"/>
      <c r="C18" s="285">
        <v>1</v>
      </c>
      <c r="D18" s="286" t="s">
        <v>158</v>
      </c>
      <c r="E18" s="286" t="s">
        <v>410</v>
      </c>
      <c r="F18" s="287" t="s">
        <v>40</v>
      </c>
      <c r="G18" s="496"/>
      <c r="H18" s="285">
        <v>2</v>
      </c>
      <c r="I18" s="286" t="s">
        <v>159</v>
      </c>
      <c r="J18" s="286" t="s">
        <v>140</v>
      </c>
      <c r="K18" s="287" t="s">
        <v>40</v>
      </c>
      <c r="L18" s="496"/>
      <c r="M18" s="285">
        <v>3</v>
      </c>
      <c r="N18" s="286" t="s">
        <v>160</v>
      </c>
      <c r="O18" s="290" t="s">
        <v>142</v>
      </c>
      <c r="P18" s="287" t="s">
        <v>40</v>
      </c>
      <c r="Q18" s="496"/>
      <c r="R18" s="285">
        <v>4</v>
      </c>
      <c r="S18" s="291" t="s">
        <v>143</v>
      </c>
      <c r="T18" s="292" t="s">
        <v>144</v>
      </c>
      <c r="U18" s="293" t="s">
        <v>58</v>
      </c>
      <c r="V18" s="292" t="s">
        <v>145</v>
      </c>
      <c r="W18" s="293" t="s">
        <v>146</v>
      </c>
      <c r="X18" s="292" t="s">
        <v>147</v>
      </c>
      <c r="Y18" s="294" t="s">
        <v>72</v>
      </c>
      <c r="Z18" s="287" t="s">
        <v>40</v>
      </c>
      <c r="AA18" s="496"/>
      <c r="AB18" s="285">
        <v>5</v>
      </c>
      <c r="AC18" s="286" t="s">
        <v>161</v>
      </c>
      <c r="AD18" s="290" t="s">
        <v>142</v>
      </c>
      <c r="AE18" s="287" t="s">
        <v>40</v>
      </c>
      <c r="AF18" s="1729"/>
      <c r="AG18" s="299"/>
      <c r="AH18" s="1741" t="s">
        <v>74</v>
      </c>
      <c r="AI18" s="1742" t="s">
        <v>43</v>
      </c>
      <c r="AJ18" s="1743" t="s">
        <v>148</v>
      </c>
      <c r="AK18" s="1744" t="s">
        <v>149</v>
      </c>
      <c r="AL18" s="299"/>
      <c r="AM18" s="299"/>
      <c r="AN18" s="281"/>
      <c r="AO18" s="1704"/>
      <c r="AP18" s="1704"/>
      <c r="AQ18" s="1704"/>
      <c r="AR18" s="1704"/>
      <c r="AS18" s="1704"/>
      <c r="AT18" s="1704"/>
      <c r="AU18" s="1704"/>
      <c r="AV18" s="1704"/>
      <c r="AW18" s="1704"/>
      <c r="AX18" s="1704"/>
      <c r="AY18" s="1704"/>
      <c r="AZ18" s="1704"/>
      <c r="BA18" s="1704"/>
      <c r="BB18" s="281"/>
      <c r="BC18" s="281"/>
      <c r="BD18" s="281"/>
      <c r="BE18" s="281"/>
      <c r="BF18" s="281"/>
      <c r="BG18" s="281"/>
      <c r="BH18" s="281"/>
      <c r="BI18" s="492"/>
      <c r="BJ18" s="492"/>
      <c r="BK18" s="492"/>
      <c r="BL18" s="492"/>
      <c r="BM18" s="492"/>
      <c r="BN18" s="281"/>
      <c r="BO18" s="281"/>
      <c r="BP18" s="281"/>
      <c r="BQ18" s="281"/>
      <c r="BR18" s="281"/>
      <c r="BS18" s="281"/>
      <c r="BT18" s="281"/>
      <c r="BU18" s="281"/>
      <c r="BV18" s="281"/>
      <c r="BW18" s="281"/>
      <c r="BX18" s="281"/>
      <c r="BY18" s="281"/>
      <c r="BZ18" s="281"/>
      <c r="CA18" s="281"/>
      <c r="CB18" s="281"/>
      <c r="CC18" s="281"/>
      <c r="CD18" s="281"/>
      <c r="CE18" s="281"/>
      <c r="CF18" s="281"/>
      <c r="CG18" s="281"/>
      <c r="CH18" s="281"/>
      <c r="CI18" s="281"/>
      <c r="CJ18" s="281"/>
      <c r="CK18" s="281"/>
      <c r="CL18" s="281"/>
      <c r="CM18" s="281"/>
      <c r="CN18" s="281"/>
      <c r="CO18" s="281"/>
      <c r="CP18" s="281"/>
      <c r="CQ18" s="281"/>
      <c r="CR18" s="281"/>
      <c r="CS18" s="281"/>
      <c r="CT18" s="281"/>
      <c r="CU18" s="281"/>
      <c r="CV18" s="281"/>
      <c r="CW18" s="281"/>
      <c r="CX18" s="281"/>
      <c r="CY18" s="281"/>
      <c r="CZ18" s="281"/>
      <c r="DA18" s="281"/>
      <c r="DB18" s="281"/>
      <c r="DC18" s="281"/>
      <c r="DD18" s="281"/>
      <c r="DE18" s="281"/>
      <c r="DF18" s="281"/>
      <c r="DG18" s="281"/>
      <c r="DH18" s="281"/>
      <c r="DI18" s="281"/>
      <c r="DJ18" s="281"/>
      <c r="DK18" s="281"/>
      <c r="DL18" s="281"/>
      <c r="DM18" s="281"/>
      <c r="DN18" s="281"/>
      <c r="DO18" s="281"/>
      <c r="DP18" s="281"/>
      <c r="DQ18" s="281"/>
      <c r="DR18" s="281"/>
      <c r="DS18" s="281"/>
      <c r="DT18" s="281"/>
      <c r="DU18" s="281"/>
      <c r="DV18" s="281"/>
      <c r="DW18" s="281"/>
      <c r="DX18" s="281"/>
      <c r="DY18" s="281"/>
      <c r="DZ18" s="281"/>
      <c r="EA18" s="281"/>
      <c r="EB18" s="281"/>
      <c r="EC18" s="281"/>
      <c r="ED18" s="281"/>
      <c r="EE18" s="281"/>
      <c r="EF18" s="281"/>
      <c r="EG18" s="281"/>
      <c r="EH18" s="281"/>
      <c r="EI18" s="281"/>
      <c r="EJ18" s="281"/>
      <c r="EK18" s="281"/>
      <c r="EL18" s="281"/>
      <c r="EM18" s="281"/>
      <c r="EN18" s="281"/>
      <c r="EO18" s="281"/>
      <c r="EP18" s="281"/>
      <c r="EQ18" s="281"/>
      <c r="ER18" s="281"/>
      <c r="ES18" s="281"/>
      <c r="ET18" s="281"/>
      <c r="EU18" s="281"/>
      <c r="EV18" s="281"/>
      <c r="EW18" s="281"/>
      <c r="EX18" s="281"/>
      <c r="EY18" s="281"/>
      <c r="EZ18" s="281"/>
      <c r="FA18" s="281"/>
      <c r="FB18" s="281"/>
      <c r="FC18" s="281"/>
      <c r="FD18" s="281"/>
      <c r="FE18" s="281"/>
      <c r="FF18" s="281"/>
      <c r="FG18" s="281"/>
      <c r="FH18" s="281"/>
      <c r="FI18" s="281"/>
      <c r="FJ18" s="281"/>
      <c r="FK18" s="281"/>
      <c r="FL18" s="281"/>
      <c r="FM18" s="281"/>
      <c r="FN18" s="281"/>
      <c r="FO18" s="281"/>
      <c r="FP18" s="281"/>
      <c r="FQ18" s="281"/>
      <c r="FR18" s="281"/>
      <c r="FS18" s="281"/>
      <c r="FT18" s="281"/>
      <c r="FU18" s="281"/>
      <c r="FV18" s="281"/>
      <c r="FW18" s="281"/>
      <c r="FX18" s="281"/>
      <c r="FY18" s="281"/>
      <c r="FZ18" s="281"/>
      <c r="GA18" s="281"/>
      <c r="GB18" s="281"/>
      <c r="GC18" s="281"/>
      <c r="GD18" s="281"/>
      <c r="GE18" s="281"/>
      <c r="GF18" s="281"/>
      <c r="GG18" s="281"/>
      <c r="GH18" s="281"/>
      <c r="GI18" s="281"/>
      <c r="GJ18" s="281"/>
      <c r="GK18" s="281"/>
      <c r="GL18" s="281"/>
      <c r="GM18" s="281"/>
      <c r="GN18" s="281"/>
      <c r="GO18" s="281"/>
      <c r="GP18" s="281"/>
      <c r="GQ18" s="281"/>
      <c r="GR18" s="281"/>
      <c r="GS18" s="281"/>
      <c r="GT18" s="281"/>
      <c r="GU18" s="281"/>
      <c r="GV18" s="281"/>
      <c r="GW18" s="281"/>
      <c r="GX18" s="281"/>
      <c r="GY18" s="281"/>
      <c r="GZ18" s="281"/>
      <c r="HA18" s="281"/>
      <c r="HB18" s="281"/>
      <c r="HC18" s="281"/>
      <c r="HD18" s="281"/>
      <c r="HE18" s="281"/>
      <c r="HF18" s="281"/>
      <c r="HG18" s="281"/>
      <c r="HH18" s="281"/>
      <c r="HI18" s="281"/>
      <c r="HJ18" s="281"/>
      <c r="HK18" s="281"/>
      <c r="HL18" s="281"/>
      <c r="HM18" s="281"/>
      <c r="HN18" s="281"/>
      <c r="HO18" s="281"/>
      <c r="HP18" s="281"/>
      <c r="HQ18" s="281"/>
      <c r="HR18" s="281"/>
      <c r="HS18" s="281"/>
      <c r="HT18" s="281"/>
      <c r="HU18" s="281"/>
      <c r="HV18" s="281"/>
      <c r="HW18" s="281"/>
      <c r="HX18" s="281"/>
      <c r="HY18" s="281"/>
      <c r="HZ18" s="281"/>
      <c r="IA18" s="281"/>
      <c r="IB18" s="281"/>
      <c r="IC18" s="281"/>
      <c r="ID18" s="281"/>
      <c r="IE18" s="281"/>
      <c r="IF18" s="281"/>
      <c r="IG18" s="281"/>
      <c r="IH18" s="281"/>
      <c r="II18" s="281"/>
      <c r="IJ18" s="281"/>
      <c r="IK18" s="281"/>
      <c r="IL18" s="281"/>
      <c r="IM18" s="281"/>
      <c r="IN18" s="281"/>
      <c r="IO18" s="281"/>
      <c r="IP18" s="282"/>
    </row>
    <row r="19" spans="1:250" ht="21" customHeight="1" x14ac:dyDescent="0.15">
      <c r="A19" s="283"/>
      <c r="B19" s="284"/>
      <c r="C19" s="11" t="s">
        <v>13</v>
      </c>
      <c r="D19" s="2074">
        <v>0.59938312505500002</v>
      </c>
      <c r="E19" s="502">
        <f>95-(((D19*95)/100))</f>
        <v>94.430586031197748</v>
      </c>
      <c r="F19" s="503">
        <v>1</v>
      </c>
      <c r="G19" s="288"/>
      <c r="H19" s="313" t="s">
        <v>10</v>
      </c>
      <c r="I19" s="2613">
        <v>0.40730836595831732</v>
      </c>
      <c r="J19" s="466">
        <f>100-((I19*100)/100)</f>
        <v>99.592691634041685</v>
      </c>
      <c r="K19" s="467">
        <v>1</v>
      </c>
      <c r="L19" s="288"/>
      <c r="M19" s="2592" t="s">
        <v>23</v>
      </c>
      <c r="N19" s="1955">
        <v>335931.19068097876</v>
      </c>
      <c r="O19" s="2590">
        <v>7.149777331531384</v>
      </c>
      <c r="P19" s="2591">
        <v>1</v>
      </c>
      <c r="Q19" s="288"/>
      <c r="R19" s="313" t="s">
        <v>10</v>
      </c>
      <c r="S19" s="547">
        <f>'H Equa'!D25</f>
        <v>5</v>
      </c>
      <c r="T19" s="547">
        <f>'H Equa'!D26</f>
        <v>0</v>
      </c>
      <c r="U19" s="547">
        <f>'H Equa'!D27</f>
        <v>0</v>
      </c>
      <c r="V19" s="547">
        <f>'H Equa'!D28</f>
        <v>1</v>
      </c>
      <c r="W19" s="547">
        <f>'H Equa'!D29</f>
        <v>0</v>
      </c>
      <c r="X19" s="547">
        <f>'H Equa'!D30</f>
        <v>0</v>
      </c>
      <c r="Y19" s="547">
        <f>'H Equa'!D31</f>
        <v>0</v>
      </c>
      <c r="Z19" s="467">
        <f>'H Equa'!D33</f>
        <v>1</v>
      </c>
      <c r="AA19" s="312"/>
      <c r="AB19" s="449" t="s">
        <v>11</v>
      </c>
      <c r="AC19" s="2460">
        <f>'H Equa'!E6</f>
        <v>1.1738661141409921</v>
      </c>
      <c r="AD19" s="468">
        <f>'H Equa'!E7</f>
        <v>9.2671201874239522</v>
      </c>
      <c r="AE19" s="469">
        <v>1</v>
      </c>
      <c r="AF19" s="301"/>
      <c r="AG19" s="499"/>
      <c r="AH19" s="2623">
        <v>1</v>
      </c>
      <c r="AI19" s="2624" t="s">
        <v>18</v>
      </c>
      <c r="AJ19" s="2625">
        <v>17</v>
      </c>
      <c r="AK19" s="2626">
        <f t="shared" ref="AK19:AK28" si="2">AJ19/5</f>
        <v>3.4</v>
      </c>
      <c r="AL19" s="499"/>
      <c r="AM19" s="499"/>
      <c r="AN19" s="281"/>
      <c r="AO19" s="1704"/>
      <c r="AP19" s="1704"/>
      <c r="AQ19" s="1704"/>
      <c r="AR19" s="1704"/>
      <c r="AS19" s="1704"/>
      <c r="AT19" s="1704"/>
      <c r="AU19" s="1704"/>
      <c r="AV19" s="1704"/>
      <c r="AW19" s="1704"/>
      <c r="AX19" s="1704"/>
      <c r="AY19" s="1704"/>
      <c r="AZ19" s="1704"/>
      <c r="BA19" s="1704"/>
      <c r="BB19" s="281"/>
      <c r="BC19" s="281"/>
      <c r="BD19" s="281"/>
      <c r="BE19" s="281"/>
      <c r="BF19" s="281"/>
      <c r="BG19" s="281"/>
      <c r="BH19" s="281"/>
      <c r="BI19" s="281"/>
      <c r="BJ19" s="281"/>
      <c r="BK19" s="281"/>
      <c r="BL19" s="281"/>
      <c r="BM19" s="281"/>
      <c r="BN19" s="281"/>
      <c r="BO19" s="281"/>
      <c r="BP19" s="281"/>
      <c r="BQ19" s="281"/>
      <c r="BR19" s="281"/>
      <c r="BS19" s="281"/>
      <c r="BT19" s="281"/>
      <c r="BU19" s="281"/>
      <c r="BV19" s="281"/>
      <c r="BW19" s="281"/>
      <c r="BX19" s="281"/>
      <c r="BY19" s="281"/>
      <c r="BZ19" s="281"/>
      <c r="CA19" s="281"/>
      <c r="CB19" s="281"/>
      <c r="CC19" s="281"/>
      <c r="CD19" s="281"/>
      <c r="CE19" s="281"/>
      <c r="CF19" s="281"/>
      <c r="CG19" s="281"/>
      <c r="CH19" s="281"/>
      <c r="CI19" s="281"/>
      <c r="CJ19" s="281"/>
      <c r="CK19" s="281"/>
      <c r="CL19" s="281"/>
      <c r="CM19" s="281"/>
      <c r="CN19" s="281"/>
      <c r="CO19" s="281"/>
      <c r="CP19" s="281"/>
      <c r="CQ19" s="281"/>
      <c r="CR19" s="281"/>
      <c r="CS19" s="281"/>
      <c r="CT19" s="281"/>
      <c r="CU19" s="281"/>
      <c r="CV19" s="281"/>
      <c r="CW19" s="281"/>
      <c r="CX19" s="281"/>
      <c r="CY19" s="281"/>
      <c r="CZ19" s="281"/>
      <c r="DA19" s="281"/>
      <c r="DB19" s="281"/>
      <c r="DC19" s="281"/>
      <c r="DD19" s="281"/>
      <c r="DE19" s="281"/>
      <c r="DF19" s="281"/>
      <c r="DG19" s="281"/>
      <c r="DH19" s="281"/>
      <c r="DI19" s="281"/>
      <c r="DJ19" s="281"/>
      <c r="DK19" s="281"/>
      <c r="DL19" s="281"/>
      <c r="DM19" s="281"/>
      <c r="DN19" s="281"/>
      <c r="DO19" s="281"/>
      <c r="DP19" s="281"/>
      <c r="DQ19" s="281"/>
      <c r="DR19" s="281"/>
      <c r="DS19" s="281"/>
      <c r="DT19" s="281"/>
      <c r="DU19" s="281"/>
      <c r="DV19" s="281"/>
      <c r="DW19" s="281"/>
      <c r="DX19" s="281"/>
      <c r="DY19" s="281"/>
      <c r="DZ19" s="281"/>
      <c r="EA19" s="281"/>
      <c r="EB19" s="281"/>
      <c r="EC19" s="281"/>
      <c r="ED19" s="281"/>
      <c r="EE19" s="281"/>
      <c r="EF19" s="281"/>
      <c r="EG19" s="281"/>
      <c r="EH19" s="281"/>
      <c r="EI19" s="281"/>
      <c r="EJ19" s="281"/>
      <c r="EK19" s="281"/>
      <c r="EL19" s="281"/>
      <c r="EM19" s="281"/>
      <c r="EN19" s="281"/>
      <c r="EO19" s="281"/>
      <c r="EP19" s="281"/>
      <c r="EQ19" s="281"/>
      <c r="ER19" s="281"/>
      <c r="ES19" s="281"/>
      <c r="ET19" s="281"/>
      <c r="EU19" s="281"/>
      <c r="EV19" s="281"/>
      <c r="EW19" s="281"/>
      <c r="EX19" s="281"/>
      <c r="EY19" s="281"/>
      <c r="EZ19" s="281"/>
      <c r="FA19" s="281"/>
      <c r="FB19" s="281"/>
      <c r="FC19" s="281"/>
      <c r="FD19" s="281"/>
      <c r="FE19" s="281"/>
      <c r="FF19" s="281"/>
      <c r="FG19" s="281"/>
      <c r="FH19" s="281"/>
      <c r="FI19" s="281"/>
      <c r="FJ19" s="281"/>
      <c r="FK19" s="281"/>
      <c r="FL19" s="281"/>
      <c r="FM19" s="281"/>
      <c r="FN19" s="281"/>
      <c r="FO19" s="281"/>
      <c r="FP19" s="281"/>
      <c r="FQ19" s="281"/>
      <c r="FR19" s="281"/>
      <c r="FS19" s="281"/>
      <c r="FT19" s="281"/>
      <c r="FU19" s="281"/>
      <c r="FV19" s="281"/>
      <c r="FW19" s="281"/>
      <c r="FX19" s="281"/>
      <c r="FY19" s="281"/>
      <c r="FZ19" s="281"/>
      <c r="GA19" s="281"/>
      <c r="GB19" s="281"/>
      <c r="GC19" s="281"/>
      <c r="GD19" s="281"/>
      <c r="GE19" s="281"/>
      <c r="GF19" s="281"/>
      <c r="GG19" s="281"/>
      <c r="GH19" s="281"/>
      <c r="GI19" s="281"/>
      <c r="GJ19" s="281"/>
      <c r="GK19" s="281"/>
      <c r="GL19" s="281"/>
      <c r="GM19" s="281"/>
      <c r="GN19" s="281"/>
      <c r="GO19" s="281"/>
      <c r="GP19" s="281"/>
      <c r="GQ19" s="281"/>
      <c r="GR19" s="281"/>
      <c r="GS19" s="281"/>
      <c r="GT19" s="281"/>
      <c r="GU19" s="281"/>
      <c r="GV19" s="281"/>
      <c r="GW19" s="281"/>
      <c r="GX19" s="281"/>
      <c r="GY19" s="281"/>
      <c r="GZ19" s="281"/>
      <c r="HA19" s="281"/>
      <c r="HB19" s="281"/>
      <c r="HC19" s="281"/>
      <c r="HD19" s="281"/>
      <c r="HE19" s="281"/>
      <c r="HF19" s="281"/>
      <c r="HG19" s="281"/>
      <c r="HH19" s="281"/>
      <c r="HI19" s="281"/>
      <c r="HJ19" s="281"/>
      <c r="HK19" s="281"/>
      <c r="HL19" s="281"/>
      <c r="HM19" s="281"/>
      <c r="HN19" s="281"/>
      <c r="HO19" s="281"/>
      <c r="HP19" s="281"/>
      <c r="HQ19" s="281"/>
      <c r="HR19" s="281"/>
      <c r="HS19" s="281"/>
      <c r="HT19" s="281"/>
      <c r="HU19" s="281"/>
      <c r="HV19" s="281"/>
      <c r="HW19" s="281"/>
      <c r="HX19" s="281"/>
      <c r="HY19" s="281"/>
      <c r="HZ19" s="281"/>
      <c r="IA19" s="281"/>
      <c r="IB19" s="281"/>
      <c r="IC19" s="281"/>
      <c r="ID19" s="281"/>
      <c r="IE19" s="281"/>
      <c r="IF19" s="281"/>
      <c r="IG19" s="281"/>
      <c r="IH19" s="281"/>
      <c r="II19" s="281"/>
      <c r="IJ19" s="281"/>
      <c r="IK19" s="281"/>
      <c r="IL19" s="281"/>
      <c r="IM19" s="281"/>
      <c r="IN19" s="281"/>
      <c r="IO19" s="281"/>
      <c r="IP19" s="282"/>
    </row>
    <row r="20" spans="1:250" ht="21" customHeight="1" x14ac:dyDescent="0.15">
      <c r="A20" s="283"/>
      <c r="B20" s="284"/>
      <c r="C20" s="335" t="s">
        <v>17</v>
      </c>
      <c r="D20" s="2043">
        <f>Données!F38</f>
        <v>21.498387034537</v>
      </c>
      <c r="E20" s="400">
        <f>100-(((D20-12)*100)/100)</f>
        <v>90.501612965462996</v>
      </c>
      <c r="F20" s="401">
        <v>2</v>
      </c>
      <c r="G20" s="288"/>
      <c r="H20" s="316" t="s">
        <v>9</v>
      </c>
      <c r="I20" s="2616">
        <v>0.69</v>
      </c>
      <c r="J20" s="2617">
        <f>85-((I20*85)/100)</f>
        <v>84.413499999999999</v>
      </c>
      <c r="K20" s="506">
        <v>2</v>
      </c>
      <c r="L20" s="288"/>
      <c r="M20" s="2593" t="s">
        <v>10</v>
      </c>
      <c r="N20" s="2529">
        <v>0.13149774749048837</v>
      </c>
      <c r="O20" s="2594">
        <v>5.8191927806322328</v>
      </c>
      <c r="P20" s="2595">
        <v>2</v>
      </c>
      <c r="Q20" s="288"/>
      <c r="R20" s="16" t="s">
        <v>23</v>
      </c>
      <c r="S20" s="341">
        <f>'H Equa'!F25</f>
        <v>5</v>
      </c>
      <c r="T20" s="341">
        <f>'H Equa'!F26</f>
        <v>0</v>
      </c>
      <c r="U20" s="341">
        <f>'H Equa'!F27</f>
        <v>0</v>
      </c>
      <c r="V20" s="341">
        <f>'H Equa'!F28</f>
        <v>1</v>
      </c>
      <c r="W20" s="341">
        <f>'H Equa'!F29</f>
        <v>0</v>
      </c>
      <c r="X20" s="341">
        <f>'H Equa'!F30</f>
        <v>0</v>
      </c>
      <c r="Y20" s="341">
        <f>'H Equa'!F31</f>
        <v>0</v>
      </c>
      <c r="Z20" s="342">
        <f>'H Equa'!F33</f>
        <v>2</v>
      </c>
      <c r="AA20" s="343"/>
      <c r="AB20" s="2627" t="s">
        <v>18</v>
      </c>
      <c r="AC20" s="2628">
        <f>'H Equa'!L6</f>
        <v>3.6941540266013817E-2</v>
      </c>
      <c r="AD20" s="2629">
        <f>'H Equa'!L7</f>
        <v>9.2353850665034543</v>
      </c>
      <c r="AE20" s="2630">
        <v>2</v>
      </c>
      <c r="AF20" s="301"/>
      <c r="AG20" s="508"/>
      <c r="AH20" s="1755">
        <v>2</v>
      </c>
      <c r="AI20" s="473" t="s">
        <v>10</v>
      </c>
      <c r="AJ20" s="525">
        <v>20</v>
      </c>
      <c r="AK20" s="1756">
        <f t="shared" si="2"/>
        <v>4</v>
      </c>
      <c r="AL20" s="508"/>
      <c r="AM20" s="508"/>
      <c r="AN20" s="281"/>
      <c r="AO20" s="1704"/>
      <c r="AP20" s="1704"/>
      <c r="AQ20" s="1704"/>
      <c r="AR20" s="1704"/>
      <c r="AS20" s="1704"/>
      <c r="AT20" s="1704"/>
      <c r="AU20" s="1704"/>
      <c r="AV20" s="1704"/>
      <c r="AW20" s="1704"/>
      <c r="AX20" s="1704"/>
      <c r="AY20" s="1704"/>
      <c r="AZ20" s="1704"/>
      <c r="BA20" s="1704"/>
      <c r="BB20" s="281"/>
      <c r="BC20" s="281"/>
      <c r="BD20" s="281"/>
      <c r="BE20" s="281"/>
      <c r="BF20" s="281"/>
      <c r="BG20" s="281"/>
      <c r="BH20" s="281"/>
      <c r="BI20" s="281"/>
      <c r="BJ20" s="281"/>
      <c r="BK20" s="281"/>
      <c r="BL20" s="281"/>
      <c r="BM20" s="281"/>
      <c r="BN20" s="281"/>
      <c r="BO20" s="281"/>
      <c r="BP20" s="281"/>
      <c r="BQ20" s="281"/>
      <c r="BR20" s="281"/>
      <c r="BS20" s="281"/>
      <c r="BT20" s="281"/>
      <c r="BU20" s="281"/>
      <c r="BV20" s="281"/>
      <c r="BW20" s="281"/>
      <c r="BX20" s="281"/>
      <c r="BY20" s="281"/>
      <c r="BZ20" s="281"/>
      <c r="CA20" s="281"/>
      <c r="CB20" s="281"/>
      <c r="CC20" s="281"/>
      <c r="CD20" s="281"/>
      <c r="CE20" s="281"/>
      <c r="CF20" s="281"/>
      <c r="CG20" s="281"/>
      <c r="CH20" s="281"/>
      <c r="CI20" s="281"/>
      <c r="CJ20" s="281"/>
      <c r="CK20" s="281"/>
      <c r="CL20" s="281"/>
      <c r="CM20" s="281"/>
      <c r="CN20" s="281"/>
      <c r="CO20" s="281"/>
      <c r="CP20" s="281"/>
      <c r="CQ20" s="281"/>
      <c r="CR20" s="281"/>
      <c r="CS20" s="281"/>
      <c r="CT20" s="281"/>
      <c r="CU20" s="281"/>
      <c r="CV20" s="281"/>
      <c r="CW20" s="281"/>
      <c r="CX20" s="281"/>
      <c r="CY20" s="281"/>
      <c r="CZ20" s="281"/>
      <c r="DA20" s="281"/>
      <c r="DB20" s="281"/>
      <c r="DC20" s="281"/>
      <c r="DD20" s="281"/>
      <c r="DE20" s="281"/>
      <c r="DF20" s="281"/>
      <c r="DG20" s="281"/>
      <c r="DH20" s="281"/>
      <c r="DI20" s="281"/>
      <c r="DJ20" s="281"/>
      <c r="DK20" s="281"/>
      <c r="DL20" s="281"/>
      <c r="DM20" s="281"/>
      <c r="DN20" s="281"/>
      <c r="DO20" s="281"/>
      <c r="DP20" s="281"/>
      <c r="DQ20" s="281"/>
      <c r="DR20" s="281"/>
      <c r="DS20" s="281"/>
      <c r="DT20" s="281"/>
      <c r="DU20" s="281"/>
      <c r="DV20" s="281"/>
      <c r="DW20" s="281"/>
      <c r="DX20" s="281"/>
      <c r="DY20" s="281"/>
      <c r="DZ20" s="281"/>
      <c r="EA20" s="281"/>
      <c r="EB20" s="281"/>
      <c r="EC20" s="281"/>
      <c r="ED20" s="281"/>
      <c r="EE20" s="281"/>
      <c r="EF20" s="281"/>
      <c r="EG20" s="281"/>
      <c r="EH20" s="281"/>
      <c r="EI20" s="281"/>
      <c r="EJ20" s="281"/>
      <c r="EK20" s="281"/>
      <c r="EL20" s="281"/>
      <c r="EM20" s="281"/>
      <c r="EN20" s="281"/>
      <c r="EO20" s="281"/>
      <c r="EP20" s="281"/>
      <c r="EQ20" s="281"/>
      <c r="ER20" s="281"/>
      <c r="ES20" s="281"/>
      <c r="ET20" s="281"/>
      <c r="EU20" s="281"/>
      <c r="EV20" s="281"/>
      <c r="EW20" s="281"/>
      <c r="EX20" s="281"/>
      <c r="EY20" s="281"/>
      <c r="EZ20" s="281"/>
      <c r="FA20" s="281"/>
      <c r="FB20" s="281"/>
      <c r="FC20" s="281"/>
      <c r="FD20" s="281"/>
      <c r="FE20" s="281"/>
      <c r="FF20" s="281"/>
      <c r="FG20" s="281"/>
      <c r="FH20" s="281"/>
      <c r="FI20" s="281"/>
      <c r="FJ20" s="281"/>
      <c r="FK20" s="281"/>
      <c r="FL20" s="281"/>
      <c r="FM20" s="281"/>
      <c r="FN20" s="281"/>
      <c r="FO20" s="281"/>
      <c r="FP20" s="281"/>
      <c r="FQ20" s="281"/>
      <c r="FR20" s="281"/>
      <c r="FS20" s="281"/>
      <c r="FT20" s="281"/>
      <c r="FU20" s="281"/>
      <c r="FV20" s="281"/>
      <c r="FW20" s="281"/>
      <c r="FX20" s="281"/>
      <c r="FY20" s="281"/>
      <c r="FZ20" s="281"/>
      <c r="GA20" s="281"/>
      <c r="GB20" s="281"/>
      <c r="GC20" s="281"/>
      <c r="GD20" s="281"/>
      <c r="GE20" s="281"/>
      <c r="GF20" s="281"/>
      <c r="GG20" s="281"/>
      <c r="GH20" s="281"/>
      <c r="GI20" s="281"/>
      <c r="GJ20" s="281"/>
      <c r="GK20" s="281"/>
      <c r="GL20" s="281"/>
      <c r="GM20" s="281"/>
      <c r="GN20" s="281"/>
      <c r="GO20" s="281"/>
      <c r="GP20" s="281"/>
      <c r="GQ20" s="281"/>
      <c r="GR20" s="281"/>
      <c r="GS20" s="281"/>
      <c r="GT20" s="281"/>
      <c r="GU20" s="281"/>
      <c r="GV20" s="281"/>
      <c r="GW20" s="281"/>
      <c r="GX20" s="281"/>
      <c r="GY20" s="281"/>
      <c r="GZ20" s="281"/>
      <c r="HA20" s="281"/>
      <c r="HB20" s="281"/>
      <c r="HC20" s="281"/>
      <c r="HD20" s="281"/>
      <c r="HE20" s="281"/>
      <c r="HF20" s="281"/>
      <c r="HG20" s="281"/>
      <c r="HH20" s="281"/>
      <c r="HI20" s="281"/>
      <c r="HJ20" s="281"/>
      <c r="HK20" s="281"/>
      <c r="HL20" s="281"/>
      <c r="HM20" s="281"/>
      <c r="HN20" s="281"/>
      <c r="HO20" s="281"/>
      <c r="HP20" s="281"/>
      <c r="HQ20" s="281"/>
      <c r="HR20" s="281"/>
      <c r="HS20" s="281"/>
      <c r="HT20" s="281"/>
      <c r="HU20" s="281"/>
      <c r="HV20" s="281"/>
      <c r="HW20" s="281"/>
      <c r="HX20" s="281"/>
      <c r="HY20" s="281"/>
      <c r="HZ20" s="281"/>
      <c r="IA20" s="281"/>
      <c r="IB20" s="281"/>
      <c r="IC20" s="281"/>
      <c r="ID20" s="281"/>
      <c r="IE20" s="281"/>
      <c r="IF20" s="281"/>
      <c r="IG20" s="281"/>
      <c r="IH20" s="281"/>
      <c r="II20" s="281"/>
      <c r="IJ20" s="281"/>
      <c r="IK20" s="281"/>
      <c r="IL20" s="281"/>
      <c r="IM20" s="281"/>
      <c r="IN20" s="281"/>
      <c r="IO20" s="281"/>
      <c r="IP20" s="282"/>
    </row>
    <row r="21" spans="1:250" ht="21" customHeight="1" x14ac:dyDescent="0.15">
      <c r="A21" s="283"/>
      <c r="B21" s="284"/>
      <c r="C21" s="2627" t="s">
        <v>18</v>
      </c>
      <c r="D21" s="2652">
        <f>Données!F39</f>
        <v>5.6821881980509996</v>
      </c>
      <c r="E21" s="2629">
        <f>95-(((D21*95)/100))</f>
        <v>89.601921211851547</v>
      </c>
      <c r="F21" s="2630">
        <v>3</v>
      </c>
      <c r="G21" s="288"/>
      <c r="H21" s="2627" t="s">
        <v>18</v>
      </c>
      <c r="I21" s="2649">
        <v>16.944960461445266</v>
      </c>
      <c r="J21" s="2650">
        <f>100-((I21*100)/100)</f>
        <v>83.055039538554738</v>
      </c>
      <c r="K21" s="2651">
        <v>3</v>
      </c>
      <c r="L21" s="288"/>
      <c r="M21" s="2645" t="s">
        <v>18</v>
      </c>
      <c r="N21" s="2646">
        <v>2.7589380064298112E-6</v>
      </c>
      <c r="O21" s="2647">
        <v>5.7964600214327184</v>
      </c>
      <c r="P21" s="2648">
        <v>3</v>
      </c>
      <c r="Q21" s="288"/>
      <c r="R21" s="449" t="s">
        <v>11</v>
      </c>
      <c r="S21" s="450">
        <f>'H Equa'!E25</f>
        <v>3</v>
      </c>
      <c r="T21" s="450">
        <f>'H Equa'!E26</f>
        <v>0</v>
      </c>
      <c r="U21" s="450">
        <f>'H Equa'!E27</f>
        <v>1</v>
      </c>
      <c r="V21" s="450">
        <f>'H Equa'!E28</f>
        <v>1</v>
      </c>
      <c r="W21" s="450">
        <f>'H Equa'!E29</f>
        <v>0</v>
      </c>
      <c r="X21" s="450">
        <f>'H Equa'!E30</f>
        <v>0</v>
      </c>
      <c r="Y21" s="450">
        <f>'H Equa'!E31</f>
        <v>2</v>
      </c>
      <c r="Z21" s="451">
        <f>'H Equa'!E33</f>
        <v>3</v>
      </c>
      <c r="AA21" s="368"/>
      <c r="AB21" s="11" t="s">
        <v>13</v>
      </c>
      <c r="AC21" s="736">
        <f>'H Equa'!G6</f>
        <v>0.73687718058897644</v>
      </c>
      <c r="AD21" s="502">
        <f>'H Equa'!G7</f>
        <v>9.2109647573622055</v>
      </c>
      <c r="AE21" s="503">
        <v>3</v>
      </c>
      <c r="AF21" s="301"/>
      <c r="AG21" s="518"/>
      <c r="AH21" s="2618">
        <v>3</v>
      </c>
      <c r="AI21" s="440" t="s">
        <v>13</v>
      </c>
      <c r="AJ21" s="517">
        <v>21</v>
      </c>
      <c r="AK21" s="1757">
        <f t="shared" si="2"/>
        <v>4.2</v>
      </c>
      <c r="AL21" s="518"/>
      <c r="AM21" s="518"/>
      <c r="AN21" s="281"/>
      <c r="AO21" s="1704"/>
      <c r="AP21" s="1704"/>
      <c r="AQ21" s="1704"/>
      <c r="AR21" s="1704"/>
      <c r="AS21" s="1704"/>
      <c r="AT21" s="1704"/>
      <c r="AU21" s="1704"/>
      <c r="AV21" s="1704"/>
      <c r="AW21" s="1704"/>
      <c r="AX21" s="1704"/>
      <c r="AY21" s="1704"/>
      <c r="AZ21" s="1704"/>
      <c r="BA21" s="1704"/>
      <c r="BB21" s="281"/>
      <c r="BC21" s="281"/>
      <c r="BD21" s="281"/>
      <c r="BE21" s="281"/>
      <c r="BF21" s="281"/>
      <c r="BG21" s="281"/>
      <c r="BH21" s="281"/>
      <c r="BI21" s="281"/>
      <c r="BJ21" s="281"/>
      <c r="BK21" s="281"/>
      <c r="BL21" s="281"/>
      <c r="BM21" s="281"/>
      <c r="BN21" s="281"/>
      <c r="BO21" s="281"/>
      <c r="BP21" s="281"/>
      <c r="BQ21" s="281"/>
      <c r="BR21" s="281"/>
      <c r="BS21" s="281"/>
      <c r="BT21" s="281"/>
      <c r="BU21" s="281"/>
      <c r="BV21" s="281"/>
      <c r="BW21" s="281"/>
      <c r="BX21" s="281"/>
      <c r="BY21" s="281"/>
      <c r="BZ21" s="281"/>
      <c r="CA21" s="281"/>
      <c r="CB21" s="281"/>
      <c r="CC21" s="281"/>
      <c r="CD21" s="281"/>
      <c r="CE21" s="281"/>
      <c r="CF21" s="281"/>
      <c r="CG21" s="281"/>
      <c r="CH21" s="281"/>
      <c r="CI21" s="281"/>
      <c r="CJ21" s="281"/>
      <c r="CK21" s="281"/>
      <c r="CL21" s="281"/>
      <c r="CM21" s="281"/>
      <c r="CN21" s="281"/>
      <c r="CO21" s="281"/>
      <c r="CP21" s="281"/>
      <c r="CQ21" s="281"/>
      <c r="CR21" s="281"/>
      <c r="CS21" s="281"/>
      <c r="CT21" s="281"/>
      <c r="CU21" s="281"/>
      <c r="CV21" s="281"/>
      <c r="CW21" s="281"/>
      <c r="CX21" s="281"/>
      <c r="CY21" s="281"/>
      <c r="CZ21" s="281"/>
      <c r="DA21" s="281"/>
      <c r="DB21" s="281"/>
      <c r="DC21" s="281"/>
      <c r="DD21" s="281"/>
      <c r="DE21" s="281"/>
      <c r="DF21" s="281"/>
      <c r="DG21" s="281"/>
      <c r="DH21" s="281"/>
      <c r="DI21" s="281"/>
      <c r="DJ21" s="281"/>
      <c r="DK21" s="281"/>
      <c r="DL21" s="281"/>
      <c r="DM21" s="281"/>
      <c r="DN21" s="281"/>
      <c r="DO21" s="281"/>
      <c r="DP21" s="281"/>
      <c r="DQ21" s="281"/>
      <c r="DR21" s="281"/>
      <c r="DS21" s="281"/>
      <c r="DT21" s="281"/>
      <c r="DU21" s="281"/>
      <c r="DV21" s="281"/>
      <c r="DW21" s="281"/>
      <c r="DX21" s="281"/>
      <c r="DY21" s="281"/>
      <c r="DZ21" s="281"/>
      <c r="EA21" s="281"/>
      <c r="EB21" s="281"/>
      <c r="EC21" s="281"/>
      <c r="ED21" s="281"/>
      <c r="EE21" s="281"/>
      <c r="EF21" s="281"/>
      <c r="EG21" s="281"/>
      <c r="EH21" s="281"/>
      <c r="EI21" s="281"/>
      <c r="EJ21" s="281"/>
      <c r="EK21" s="281"/>
      <c r="EL21" s="281"/>
      <c r="EM21" s="281"/>
      <c r="EN21" s="281"/>
      <c r="EO21" s="281"/>
      <c r="EP21" s="281"/>
      <c r="EQ21" s="281"/>
      <c r="ER21" s="281"/>
      <c r="ES21" s="281"/>
      <c r="ET21" s="281"/>
      <c r="EU21" s="281"/>
      <c r="EV21" s="281"/>
      <c r="EW21" s="281"/>
      <c r="EX21" s="281"/>
      <c r="EY21" s="281"/>
      <c r="EZ21" s="281"/>
      <c r="FA21" s="281"/>
      <c r="FB21" s="281"/>
      <c r="FC21" s="281"/>
      <c r="FD21" s="281"/>
      <c r="FE21" s="281"/>
      <c r="FF21" s="281"/>
      <c r="FG21" s="281"/>
      <c r="FH21" s="281"/>
      <c r="FI21" s="281"/>
      <c r="FJ21" s="281"/>
      <c r="FK21" s="281"/>
      <c r="FL21" s="281"/>
      <c r="FM21" s="281"/>
      <c r="FN21" s="281"/>
      <c r="FO21" s="281"/>
      <c r="FP21" s="281"/>
      <c r="FQ21" s="281"/>
      <c r="FR21" s="281"/>
      <c r="FS21" s="281"/>
      <c r="FT21" s="281"/>
      <c r="FU21" s="281"/>
      <c r="FV21" s="281"/>
      <c r="FW21" s="281"/>
      <c r="FX21" s="281"/>
      <c r="FY21" s="281"/>
      <c r="FZ21" s="281"/>
      <c r="GA21" s="281"/>
      <c r="GB21" s="281"/>
      <c r="GC21" s="281"/>
      <c r="GD21" s="281"/>
      <c r="GE21" s="281"/>
      <c r="GF21" s="281"/>
      <c r="GG21" s="281"/>
      <c r="GH21" s="281"/>
      <c r="GI21" s="281"/>
      <c r="GJ21" s="281"/>
      <c r="GK21" s="281"/>
      <c r="GL21" s="281"/>
      <c r="GM21" s="281"/>
      <c r="GN21" s="281"/>
      <c r="GO21" s="281"/>
      <c r="GP21" s="281"/>
      <c r="GQ21" s="281"/>
      <c r="GR21" s="281"/>
      <c r="GS21" s="281"/>
      <c r="GT21" s="281"/>
      <c r="GU21" s="281"/>
      <c r="GV21" s="281"/>
      <c r="GW21" s="281"/>
      <c r="GX21" s="281"/>
      <c r="GY21" s="281"/>
      <c r="GZ21" s="281"/>
      <c r="HA21" s="281"/>
      <c r="HB21" s="281"/>
      <c r="HC21" s="281"/>
      <c r="HD21" s="281"/>
      <c r="HE21" s="281"/>
      <c r="HF21" s="281"/>
      <c r="HG21" s="281"/>
      <c r="HH21" s="281"/>
      <c r="HI21" s="281"/>
      <c r="HJ21" s="281"/>
      <c r="HK21" s="281"/>
      <c r="HL21" s="281"/>
      <c r="HM21" s="281"/>
      <c r="HN21" s="281"/>
      <c r="HO21" s="281"/>
      <c r="HP21" s="281"/>
      <c r="HQ21" s="281"/>
      <c r="HR21" s="281"/>
      <c r="HS21" s="281"/>
      <c r="HT21" s="281"/>
      <c r="HU21" s="281"/>
      <c r="HV21" s="281"/>
      <c r="HW21" s="281"/>
      <c r="HX21" s="281"/>
      <c r="HY21" s="281"/>
      <c r="HZ21" s="281"/>
      <c r="IA21" s="281"/>
      <c r="IB21" s="281"/>
      <c r="IC21" s="281"/>
      <c r="ID21" s="281"/>
      <c r="IE21" s="281"/>
      <c r="IF21" s="281"/>
      <c r="IG21" s="281"/>
      <c r="IH21" s="281"/>
      <c r="II21" s="281"/>
      <c r="IJ21" s="281"/>
      <c r="IK21" s="281"/>
      <c r="IL21" s="281"/>
      <c r="IM21" s="281"/>
      <c r="IN21" s="281"/>
      <c r="IO21" s="281"/>
      <c r="IP21" s="282"/>
    </row>
    <row r="22" spans="1:250" ht="21" customHeight="1" x14ac:dyDescent="0.15">
      <c r="A22" s="283"/>
      <c r="B22" s="284"/>
      <c r="C22" s="2631" t="s">
        <v>16</v>
      </c>
      <c r="D22" s="2653">
        <f>Données!F37</f>
        <v>22.562976577010001</v>
      </c>
      <c r="E22" s="2633">
        <f>100-(((D22-12)*100)/100)</f>
        <v>89.437023422989995</v>
      </c>
      <c r="F22" s="2634">
        <v>4</v>
      </c>
      <c r="G22" s="288"/>
      <c r="H22" s="11" t="s">
        <v>13</v>
      </c>
      <c r="I22" s="1706">
        <v>13.537670505587288</v>
      </c>
      <c r="J22" s="302">
        <f>90-((I22*90)/100)</f>
        <v>77.816096544971444</v>
      </c>
      <c r="K22" s="303">
        <v>4</v>
      </c>
      <c r="L22" s="288"/>
      <c r="M22" s="307" t="s">
        <v>15</v>
      </c>
      <c r="N22" s="407">
        <v>1.037792385310583</v>
      </c>
      <c r="O22" s="309">
        <v>3.6284325474230905</v>
      </c>
      <c r="P22" s="2589">
        <v>4</v>
      </c>
      <c r="Q22" s="288"/>
      <c r="R22" s="11" t="s">
        <v>13</v>
      </c>
      <c r="S22" s="311">
        <f>'H Equa'!G25</f>
        <v>3</v>
      </c>
      <c r="T22" s="311">
        <f>'H Equa'!G26</f>
        <v>0</v>
      </c>
      <c r="U22" s="311">
        <f>'H Equa'!G27</f>
        <v>1</v>
      </c>
      <c r="V22" s="311">
        <f>'H Equa'!G28</f>
        <v>1</v>
      </c>
      <c r="W22" s="311">
        <f>'H Equa'!G29</f>
        <v>0</v>
      </c>
      <c r="X22" s="311">
        <f>'H Equa'!G30</f>
        <v>0</v>
      </c>
      <c r="Y22" s="311">
        <f>'H Equa'!G31</f>
        <v>2</v>
      </c>
      <c r="Z22" s="303">
        <f>'H Equa'!G33</f>
        <v>4</v>
      </c>
      <c r="AA22" s="386"/>
      <c r="AB22" s="304" t="s">
        <v>14</v>
      </c>
      <c r="AC22" s="1617">
        <f>'H Equa'!H6</f>
        <v>0.20367287547901469</v>
      </c>
      <c r="AD22" s="365">
        <f>'H Equa'!H7</f>
        <v>8.6046842196457405</v>
      </c>
      <c r="AE22" s="366">
        <v>4</v>
      </c>
      <c r="AF22" s="301"/>
      <c r="AG22" s="526"/>
      <c r="AH22" s="1753">
        <v>4</v>
      </c>
      <c r="AI22" s="405" t="s">
        <v>23</v>
      </c>
      <c r="AJ22" s="657">
        <v>25</v>
      </c>
      <c r="AK22" s="1754">
        <f t="shared" si="2"/>
        <v>5</v>
      </c>
      <c r="AL22" s="526"/>
      <c r="AM22" s="526"/>
      <c r="AN22" s="281"/>
      <c r="AO22" s="1704"/>
      <c r="AP22" s="1704"/>
      <c r="AQ22" s="1704"/>
      <c r="AR22" s="1704"/>
      <c r="AS22" s="1704"/>
      <c r="AT22" s="1704"/>
      <c r="AU22" s="1704"/>
      <c r="AV22" s="1704"/>
      <c r="AW22" s="1704"/>
      <c r="AX22" s="1704"/>
      <c r="AY22" s="1704"/>
      <c r="AZ22" s="1704"/>
      <c r="BA22" s="1704"/>
      <c r="BB22" s="281"/>
      <c r="BC22" s="281"/>
      <c r="BD22" s="281"/>
      <c r="BE22" s="281"/>
      <c r="BF22" s="281"/>
      <c r="BG22" s="281"/>
      <c r="BH22" s="281"/>
      <c r="BI22" s="281"/>
      <c r="BJ22" s="281"/>
      <c r="BK22" s="281"/>
      <c r="BL22" s="281"/>
      <c r="BM22" s="281"/>
      <c r="BN22" s="281"/>
      <c r="BO22" s="281"/>
      <c r="BP22" s="281"/>
      <c r="BQ22" s="281"/>
      <c r="BR22" s="281"/>
      <c r="BS22" s="281"/>
      <c r="BT22" s="281"/>
      <c r="BU22" s="281"/>
      <c r="BV22" s="281"/>
      <c r="BW22" s="281"/>
      <c r="BX22" s="281"/>
      <c r="BY22" s="281"/>
      <c r="BZ22" s="281"/>
      <c r="CA22" s="281"/>
      <c r="CB22" s="281"/>
      <c r="CC22" s="281"/>
      <c r="CD22" s="281"/>
      <c r="CE22" s="281"/>
      <c r="CF22" s="281"/>
      <c r="CG22" s="281"/>
      <c r="CH22" s="281"/>
      <c r="CI22" s="281"/>
      <c r="CJ22" s="281"/>
      <c r="CK22" s="281"/>
      <c r="CL22" s="281"/>
      <c r="CM22" s="281"/>
      <c r="CN22" s="281"/>
      <c r="CO22" s="281"/>
      <c r="CP22" s="281"/>
      <c r="CQ22" s="281"/>
      <c r="CR22" s="281"/>
      <c r="CS22" s="281"/>
      <c r="CT22" s="281"/>
      <c r="CU22" s="281"/>
      <c r="CV22" s="281"/>
      <c r="CW22" s="281"/>
      <c r="CX22" s="281"/>
      <c r="CY22" s="281"/>
      <c r="CZ22" s="281"/>
      <c r="DA22" s="281"/>
      <c r="DB22" s="281"/>
      <c r="DC22" s="281"/>
      <c r="DD22" s="281"/>
      <c r="DE22" s="281"/>
      <c r="DF22" s="281"/>
      <c r="DG22" s="281"/>
      <c r="DH22" s="281"/>
      <c r="DI22" s="281"/>
      <c r="DJ22" s="281"/>
      <c r="DK22" s="281"/>
      <c r="DL22" s="281"/>
      <c r="DM22" s="281"/>
      <c r="DN22" s="281"/>
      <c r="DO22" s="281"/>
      <c r="DP22" s="281"/>
      <c r="DQ22" s="281"/>
      <c r="DR22" s="281"/>
      <c r="DS22" s="281"/>
      <c r="DT22" s="281"/>
      <c r="DU22" s="281"/>
      <c r="DV22" s="281"/>
      <c r="DW22" s="281"/>
      <c r="DX22" s="281"/>
      <c r="DY22" s="281"/>
      <c r="DZ22" s="281"/>
      <c r="EA22" s="281"/>
      <c r="EB22" s="281"/>
      <c r="EC22" s="281"/>
      <c r="ED22" s="281"/>
      <c r="EE22" s="281"/>
      <c r="EF22" s="281"/>
      <c r="EG22" s="281"/>
      <c r="EH22" s="281"/>
      <c r="EI22" s="281"/>
      <c r="EJ22" s="281"/>
      <c r="EK22" s="281"/>
      <c r="EL22" s="281"/>
      <c r="EM22" s="281"/>
      <c r="EN22" s="281"/>
      <c r="EO22" s="281"/>
      <c r="EP22" s="281"/>
      <c r="EQ22" s="281"/>
      <c r="ER22" s="281"/>
      <c r="ES22" s="281"/>
      <c r="ET22" s="281"/>
      <c r="EU22" s="281"/>
      <c r="EV22" s="281"/>
      <c r="EW22" s="281"/>
      <c r="EX22" s="281"/>
      <c r="EY22" s="281"/>
      <c r="EZ22" s="281"/>
      <c r="FA22" s="281"/>
      <c r="FB22" s="281"/>
      <c r="FC22" s="281"/>
      <c r="FD22" s="281"/>
      <c r="FE22" s="281"/>
      <c r="FF22" s="281"/>
      <c r="FG22" s="281"/>
      <c r="FH22" s="281"/>
      <c r="FI22" s="281"/>
      <c r="FJ22" s="281"/>
      <c r="FK22" s="281"/>
      <c r="FL22" s="281"/>
      <c r="FM22" s="281"/>
      <c r="FN22" s="281"/>
      <c r="FO22" s="281"/>
      <c r="FP22" s="281"/>
      <c r="FQ22" s="281"/>
      <c r="FR22" s="281"/>
      <c r="FS22" s="281"/>
      <c r="FT22" s="281"/>
      <c r="FU22" s="281"/>
      <c r="FV22" s="281"/>
      <c r="FW22" s="281"/>
      <c r="FX22" s="281"/>
      <c r="FY22" s="281"/>
      <c r="FZ22" s="281"/>
      <c r="GA22" s="281"/>
      <c r="GB22" s="281"/>
      <c r="GC22" s="281"/>
      <c r="GD22" s="281"/>
      <c r="GE22" s="281"/>
      <c r="GF22" s="281"/>
      <c r="GG22" s="281"/>
      <c r="GH22" s="281"/>
      <c r="GI22" s="281"/>
      <c r="GJ22" s="281"/>
      <c r="GK22" s="281"/>
      <c r="GL22" s="281"/>
      <c r="GM22" s="281"/>
      <c r="GN22" s="281"/>
      <c r="GO22" s="281"/>
      <c r="GP22" s="281"/>
      <c r="GQ22" s="281"/>
      <c r="GR22" s="281"/>
      <c r="GS22" s="281"/>
      <c r="GT22" s="281"/>
      <c r="GU22" s="281"/>
      <c r="GV22" s="281"/>
      <c r="GW22" s="281"/>
      <c r="GX22" s="281"/>
      <c r="GY22" s="281"/>
      <c r="GZ22" s="281"/>
      <c r="HA22" s="281"/>
      <c r="HB22" s="281"/>
      <c r="HC22" s="281"/>
      <c r="HD22" s="281"/>
      <c r="HE22" s="281"/>
      <c r="HF22" s="281"/>
      <c r="HG22" s="281"/>
      <c r="HH22" s="281"/>
      <c r="HI22" s="281"/>
      <c r="HJ22" s="281"/>
      <c r="HK22" s="281"/>
      <c r="HL22" s="281"/>
      <c r="HM22" s="281"/>
      <c r="HN22" s="281"/>
      <c r="HO22" s="281"/>
      <c r="HP22" s="281"/>
      <c r="HQ22" s="281"/>
      <c r="HR22" s="281"/>
      <c r="HS22" s="281"/>
      <c r="HT22" s="281"/>
      <c r="HU22" s="281"/>
      <c r="HV22" s="281"/>
      <c r="HW22" s="281"/>
      <c r="HX22" s="281"/>
      <c r="HY22" s="281"/>
      <c r="HZ22" s="281"/>
      <c r="IA22" s="281"/>
      <c r="IB22" s="281"/>
      <c r="IC22" s="281"/>
      <c r="ID22" s="281"/>
      <c r="IE22" s="281"/>
      <c r="IF22" s="281"/>
      <c r="IG22" s="281"/>
      <c r="IH22" s="281"/>
      <c r="II22" s="281"/>
      <c r="IJ22" s="281"/>
      <c r="IK22" s="281"/>
      <c r="IL22" s="281"/>
      <c r="IM22" s="281"/>
      <c r="IN22" s="281"/>
      <c r="IO22" s="281"/>
      <c r="IP22" s="282"/>
    </row>
    <row r="23" spans="1:250" ht="21" customHeight="1" x14ac:dyDescent="0.15">
      <c r="A23" s="283"/>
      <c r="B23" s="284"/>
      <c r="C23" s="307" t="s">
        <v>15</v>
      </c>
      <c r="D23" s="2044">
        <f>Données!F36</f>
        <v>15.023082058341</v>
      </c>
      <c r="E23" s="309">
        <f>80-(((D23-13)*80)/100)</f>
        <v>78.381534353327197</v>
      </c>
      <c r="F23" s="310">
        <v>5</v>
      </c>
      <c r="G23" s="288"/>
      <c r="H23" s="304" t="s">
        <v>14</v>
      </c>
      <c r="I23" s="2466">
        <v>14.442563435089561</v>
      </c>
      <c r="J23" s="305">
        <f>90-((I23*90)/100)</f>
        <v>77.0016929084194</v>
      </c>
      <c r="K23" s="306">
        <v>5</v>
      </c>
      <c r="L23" s="288"/>
      <c r="M23" s="335" t="s">
        <v>17</v>
      </c>
      <c r="N23" s="2528">
        <v>1.8422477151644075E-2</v>
      </c>
      <c r="O23" s="400">
        <v>2.7184662170651857</v>
      </c>
      <c r="P23" s="2588">
        <v>5</v>
      </c>
      <c r="Q23" s="288"/>
      <c r="R23" s="304" t="s">
        <v>14</v>
      </c>
      <c r="S23" s="2609">
        <f>'H Equa'!H25</f>
        <v>3</v>
      </c>
      <c r="T23" s="2609">
        <f>'H Equa'!H26</f>
        <v>0</v>
      </c>
      <c r="U23" s="2609">
        <f>'H Equa'!H27</f>
        <v>1</v>
      </c>
      <c r="V23" s="2609">
        <f>'H Equa'!H28</f>
        <v>1</v>
      </c>
      <c r="W23" s="2609">
        <f>'H Equa'!H29</f>
        <v>0</v>
      </c>
      <c r="X23" s="2609">
        <f>'H Equa'!H30</f>
        <v>0</v>
      </c>
      <c r="Y23" s="2609">
        <f>'H Equa'!H31</f>
        <v>2</v>
      </c>
      <c r="Z23" s="306">
        <f>'H Equa'!H33</f>
        <v>5</v>
      </c>
      <c r="AA23" s="403"/>
      <c r="AB23" s="16" t="s">
        <v>23</v>
      </c>
      <c r="AC23" s="713">
        <f>'H Equa'!F6</f>
        <v>0.99465540683499398</v>
      </c>
      <c r="AD23" s="434">
        <f>'H Equa'!F7</f>
        <v>7.4214937889998653</v>
      </c>
      <c r="AE23" s="435">
        <v>5</v>
      </c>
      <c r="AF23" s="301"/>
      <c r="AG23" s="532"/>
      <c r="AH23" s="1760">
        <v>5</v>
      </c>
      <c r="AI23" s="347" t="s">
        <v>14</v>
      </c>
      <c r="AJ23" s="548">
        <v>29</v>
      </c>
      <c r="AK23" s="1761">
        <f t="shared" si="2"/>
        <v>5.8</v>
      </c>
      <c r="AL23" s="532"/>
      <c r="AM23" s="532"/>
      <c r="AN23" s="281"/>
      <c r="AO23" s="1704"/>
      <c r="AP23" s="1704"/>
      <c r="AQ23" s="1704"/>
      <c r="AR23" s="1704"/>
      <c r="AS23" s="1704"/>
      <c r="AT23" s="1704"/>
      <c r="AU23" s="1704"/>
      <c r="AV23" s="1704"/>
      <c r="AW23" s="1704"/>
      <c r="AX23" s="1704"/>
      <c r="AY23" s="1704"/>
      <c r="AZ23" s="1704"/>
      <c r="BA23" s="1704"/>
      <c r="BB23" s="281"/>
      <c r="BC23" s="281"/>
      <c r="BD23" s="281"/>
      <c r="BE23" s="281"/>
      <c r="BF23" s="281"/>
      <c r="BG23" s="281"/>
      <c r="BH23" s="281"/>
      <c r="BI23" s="281"/>
      <c r="BJ23" s="281"/>
      <c r="BK23" s="281"/>
      <c r="BL23" s="281"/>
      <c r="BM23" s="281"/>
      <c r="BN23" s="281"/>
      <c r="BO23" s="281"/>
      <c r="BP23" s="281"/>
      <c r="BQ23" s="281"/>
      <c r="BR23" s="281"/>
      <c r="BS23" s="281"/>
      <c r="BT23" s="281"/>
      <c r="BU23" s="281"/>
      <c r="BV23" s="281"/>
      <c r="BW23" s="281"/>
      <c r="BX23" s="281"/>
      <c r="BY23" s="281"/>
      <c r="BZ23" s="281"/>
      <c r="CA23" s="281"/>
      <c r="CB23" s="281"/>
      <c r="CC23" s="281"/>
      <c r="CD23" s="281"/>
      <c r="CE23" s="281"/>
      <c r="CF23" s="281"/>
      <c r="CG23" s="281"/>
      <c r="CH23" s="281"/>
      <c r="CI23" s="281"/>
      <c r="CJ23" s="281"/>
      <c r="CK23" s="281"/>
      <c r="CL23" s="281"/>
      <c r="CM23" s="281"/>
      <c r="CN23" s="281"/>
      <c r="CO23" s="281"/>
      <c r="CP23" s="281"/>
      <c r="CQ23" s="281"/>
      <c r="CR23" s="281"/>
      <c r="CS23" s="281"/>
      <c r="CT23" s="281"/>
      <c r="CU23" s="281"/>
      <c r="CV23" s="281"/>
      <c r="CW23" s="281"/>
      <c r="CX23" s="281"/>
      <c r="CY23" s="281"/>
      <c r="CZ23" s="281"/>
      <c r="DA23" s="281"/>
      <c r="DB23" s="281"/>
      <c r="DC23" s="281"/>
      <c r="DD23" s="281"/>
      <c r="DE23" s="281"/>
      <c r="DF23" s="281"/>
      <c r="DG23" s="281"/>
      <c r="DH23" s="281"/>
      <c r="DI23" s="281"/>
      <c r="DJ23" s="281"/>
      <c r="DK23" s="281"/>
      <c r="DL23" s="281"/>
      <c r="DM23" s="281"/>
      <c r="DN23" s="281"/>
      <c r="DO23" s="281"/>
      <c r="DP23" s="281"/>
      <c r="DQ23" s="281"/>
      <c r="DR23" s="281"/>
      <c r="DS23" s="281"/>
      <c r="DT23" s="281"/>
      <c r="DU23" s="281"/>
      <c r="DV23" s="281"/>
      <c r="DW23" s="281"/>
      <c r="DX23" s="281"/>
      <c r="DY23" s="281"/>
      <c r="DZ23" s="281"/>
      <c r="EA23" s="281"/>
      <c r="EB23" s="281"/>
      <c r="EC23" s="281"/>
      <c r="ED23" s="281"/>
      <c r="EE23" s="281"/>
      <c r="EF23" s="281"/>
      <c r="EG23" s="281"/>
      <c r="EH23" s="281"/>
      <c r="EI23" s="281"/>
      <c r="EJ23" s="281"/>
      <c r="EK23" s="281"/>
      <c r="EL23" s="281"/>
      <c r="EM23" s="281"/>
      <c r="EN23" s="281"/>
      <c r="EO23" s="281"/>
      <c r="EP23" s="281"/>
      <c r="EQ23" s="281"/>
      <c r="ER23" s="281"/>
      <c r="ES23" s="281"/>
      <c r="ET23" s="281"/>
      <c r="EU23" s="281"/>
      <c r="EV23" s="281"/>
      <c r="EW23" s="281"/>
      <c r="EX23" s="281"/>
      <c r="EY23" s="281"/>
      <c r="EZ23" s="281"/>
      <c r="FA23" s="281"/>
      <c r="FB23" s="281"/>
      <c r="FC23" s="281"/>
      <c r="FD23" s="281"/>
      <c r="FE23" s="281"/>
      <c r="FF23" s="281"/>
      <c r="FG23" s="281"/>
      <c r="FH23" s="281"/>
      <c r="FI23" s="281"/>
      <c r="FJ23" s="281"/>
      <c r="FK23" s="281"/>
      <c r="FL23" s="281"/>
      <c r="FM23" s="281"/>
      <c r="FN23" s="281"/>
      <c r="FO23" s="281"/>
      <c r="FP23" s="281"/>
      <c r="FQ23" s="281"/>
      <c r="FR23" s="281"/>
      <c r="FS23" s="281"/>
      <c r="FT23" s="281"/>
      <c r="FU23" s="281"/>
      <c r="FV23" s="281"/>
      <c r="FW23" s="281"/>
      <c r="FX23" s="281"/>
      <c r="FY23" s="281"/>
      <c r="FZ23" s="281"/>
      <c r="GA23" s="281"/>
      <c r="GB23" s="281"/>
      <c r="GC23" s="281"/>
      <c r="GD23" s="281"/>
      <c r="GE23" s="281"/>
      <c r="GF23" s="281"/>
      <c r="GG23" s="281"/>
      <c r="GH23" s="281"/>
      <c r="GI23" s="281"/>
      <c r="GJ23" s="281"/>
      <c r="GK23" s="281"/>
      <c r="GL23" s="281"/>
      <c r="GM23" s="281"/>
      <c r="GN23" s="281"/>
      <c r="GO23" s="281"/>
      <c r="GP23" s="281"/>
      <c r="GQ23" s="281"/>
      <c r="GR23" s="281"/>
      <c r="GS23" s="281"/>
      <c r="GT23" s="281"/>
      <c r="GU23" s="281"/>
      <c r="GV23" s="281"/>
      <c r="GW23" s="281"/>
      <c r="GX23" s="281"/>
      <c r="GY23" s="281"/>
      <c r="GZ23" s="281"/>
      <c r="HA23" s="281"/>
      <c r="HB23" s="281"/>
      <c r="HC23" s="281"/>
      <c r="HD23" s="281"/>
      <c r="HE23" s="281"/>
      <c r="HF23" s="281"/>
      <c r="HG23" s="281"/>
      <c r="HH23" s="281"/>
      <c r="HI23" s="281"/>
      <c r="HJ23" s="281"/>
      <c r="HK23" s="281"/>
      <c r="HL23" s="281"/>
      <c r="HM23" s="281"/>
      <c r="HN23" s="281"/>
      <c r="HO23" s="281"/>
      <c r="HP23" s="281"/>
      <c r="HQ23" s="281"/>
      <c r="HR23" s="281"/>
      <c r="HS23" s="281"/>
      <c r="HT23" s="281"/>
      <c r="HU23" s="281"/>
      <c r="HV23" s="281"/>
      <c r="HW23" s="281"/>
      <c r="HX23" s="281"/>
      <c r="HY23" s="281"/>
      <c r="HZ23" s="281"/>
      <c r="IA23" s="281"/>
      <c r="IB23" s="281"/>
      <c r="IC23" s="281"/>
      <c r="ID23" s="281"/>
      <c r="IE23" s="281"/>
      <c r="IF23" s="281"/>
      <c r="IG23" s="281"/>
      <c r="IH23" s="281"/>
      <c r="II23" s="281"/>
      <c r="IJ23" s="281"/>
      <c r="IK23" s="281"/>
      <c r="IL23" s="281"/>
      <c r="IM23" s="281"/>
      <c r="IN23" s="281"/>
      <c r="IO23" s="281"/>
      <c r="IP23" s="282"/>
    </row>
    <row r="24" spans="1:250" ht="21" customHeight="1" x14ac:dyDescent="0.15">
      <c r="A24" s="283"/>
      <c r="B24" s="284"/>
      <c r="C24" s="316" t="s">
        <v>9</v>
      </c>
      <c r="D24" s="2046">
        <f>Données!F30</f>
        <v>15.060464749775999</v>
      </c>
      <c r="E24" s="384">
        <f>80-(((D24-13)*80)/100)</f>
        <v>78.351628200179206</v>
      </c>
      <c r="F24" s="385">
        <v>6</v>
      </c>
      <c r="G24" s="288"/>
      <c r="H24" s="449" t="s">
        <v>11</v>
      </c>
      <c r="I24" s="2614">
        <v>16.318801655345855</v>
      </c>
      <c r="J24" s="465">
        <f>90-((I24*90)/100)</f>
        <v>75.313078510188731</v>
      </c>
      <c r="K24" s="451">
        <v>6</v>
      </c>
      <c r="L24" s="288"/>
      <c r="M24" s="2639" t="s">
        <v>16</v>
      </c>
      <c r="N24" s="2519">
        <v>3.6313834745000599E-2</v>
      </c>
      <c r="O24" s="2520">
        <v>2.2491386153381718</v>
      </c>
      <c r="P24" s="2640">
        <v>6</v>
      </c>
      <c r="Q24" s="288"/>
      <c r="R24" s="2627" t="s">
        <v>18</v>
      </c>
      <c r="S24" s="2637">
        <f>'H Equa'!L25</f>
        <v>3</v>
      </c>
      <c r="T24" s="2637">
        <f>'H Equa'!L26</f>
        <v>0</v>
      </c>
      <c r="U24" s="2637">
        <f>'H Equa'!L27</f>
        <v>1</v>
      </c>
      <c r="V24" s="2637">
        <f>'H Equa'!L28</f>
        <v>1</v>
      </c>
      <c r="W24" s="2637">
        <f>'H Equa'!L29</f>
        <v>0</v>
      </c>
      <c r="X24" s="2637">
        <f>'H Equa'!L30</f>
        <v>0</v>
      </c>
      <c r="Y24" s="2637">
        <f>'H Equa'!L31</f>
        <v>2</v>
      </c>
      <c r="Z24" s="2638">
        <f>'H Equa'!L33</f>
        <v>6</v>
      </c>
      <c r="AA24" s="420"/>
      <c r="AB24" s="316" t="s">
        <v>9</v>
      </c>
      <c r="AC24" s="1703">
        <f>'H Equa'!C6</f>
        <v>13.358571804317009</v>
      </c>
      <c r="AD24" s="384">
        <f>'H Equa'!C7</f>
        <v>5.5976196738616348</v>
      </c>
      <c r="AE24" s="385">
        <v>6</v>
      </c>
      <c r="AF24" s="301"/>
      <c r="AG24" s="539"/>
      <c r="AH24" s="1766">
        <v>6</v>
      </c>
      <c r="AI24" s="318" t="s">
        <v>9</v>
      </c>
      <c r="AJ24" s="498">
        <v>30</v>
      </c>
      <c r="AK24" s="1767">
        <f t="shared" si="2"/>
        <v>6</v>
      </c>
      <c r="AL24" s="539"/>
      <c r="AM24" s="539"/>
      <c r="AN24" s="281"/>
      <c r="AO24" s="1704"/>
      <c r="AP24" s="1704"/>
      <c r="AQ24" s="1704"/>
      <c r="AR24" s="1704"/>
      <c r="AS24" s="1704"/>
      <c r="AT24" s="1704"/>
      <c r="AU24" s="1704"/>
      <c r="AV24" s="1704"/>
      <c r="AW24" s="1704"/>
      <c r="AX24" s="1704"/>
      <c r="AY24" s="1704"/>
      <c r="AZ24" s="1704"/>
      <c r="BA24" s="1704"/>
      <c r="BB24" s="281"/>
      <c r="BC24" s="281"/>
      <c r="BD24" s="281"/>
      <c r="BE24" s="281"/>
      <c r="BF24" s="281"/>
      <c r="BG24" s="281"/>
      <c r="BH24" s="281"/>
      <c r="BI24" s="281"/>
      <c r="BJ24" s="281"/>
      <c r="BK24" s="281"/>
      <c r="BL24" s="281"/>
      <c r="BM24" s="281"/>
      <c r="BN24" s="281"/>
      <c r="BO24" s="281"/>
      <c r="BP24" s="281"/>
      <c r="BQ24" s="281"/>
      <c r="BR24" s="281"/>
      <c r="BS24" s="281"/>
      <c r="BT24" s="281"/>
      <c r="BU24" s="281"/>
      <c r="BV24" s="281"/>
      <c r="BW24" s="281"/>
      <c r="BX24" s="281"/>
      <c r="BY24" s="281"/>
      <c r="BZ24" s="281"/>
      <c r="CA24" s="281"/>
      <c r="CB24" s="281"/>
      <c r="CC24" s="281"/>
      <c r="CD24" s="281"/>
      <c r="CE24" s="281"/>
      <c r="CF24" s="281"/>
      <c r="CG24" s="281"/>
      <c r="CH24" s="281"/>
      <c r="CI24" s="281"/>
      <c r="CJ24" s="281"/>
      <c r="CK24" s="281"/>
      <c r="CL24" s="281"/>
      <c r="CM24" s="281"/>
      <c r="CN24" s="281"/>
      <c r="CO24" s="281"/>
      <c r="CP24" s="281"/>
      <c r="CQ24" s="281"/>
      <c r="CR24" s="281"/>
      <c r="CS24" s="281"/>
      <c r="CT24" s="281"/>
      <c r="CU24" s="281"/>
      <c r="CV24" s="281"/>
      <c r="CW24" s="281"/>
      <c r="CX24" s="281"/>
      <c r="CY24" s="281"/>
      <c r="CZ24" s="281"/>
      <c r="DA24" s="281"/>
      <c r="DB24" s="281"/>
      <c r="DC24" s="281"/>
      <c r="DD24" s="281"/>
      <c r="DE24" s="281"/>
      <c r="DF24" s="281"/>
      <c r="DG24" s="281"/>
      <c r="DH24" s="281"/>
      <c r="DI24" s="281"/>
      <c r="DJ24" s="281"/>
      <c r="DK24" s="281"/>
      <c r="DL24" s="281"/>
      <c r="DM24" s="281"/>
      <c r="DN24" s="281"/>
      <c r="DO24" s="281"/>
      <c r="DP24" s="281"/>
      <c r="DQ24" s="281"/>
      <c r="DR24" s="281"/>
      <c r="DS24" s="281"/>
      <c r="DT24" s="281"/>
      <c r="DU24" s="281"/>
      <c r="DV24" s="281"/>
      <c r="DW24" s="281"/>
      <c r="DX24" s="281"/>
      <c r="DY24" s="281"/>
      <c r="DZ24" s="281"/>
      <c r="EA24" s="281"/>
      <c r="EB24" s="281"/>
      <c r="EC24" s="281"/>
      <c r="ED24" s="281"/>
      <c r="EE24" s="281"/>
      <c r="EF24" s="281"/>
      <c r="EG24" s="281"/>
      <c r="EH24" s="281"/>
      <c r="EI24" s="281"/>
      <c r="EJ24" s="281"/>
      <c r="EK24" s="281"/>
      <c r="EL24" s="281"/>
      <c r="EM24" s="281"/>
      <c r="EN24" s="281"/>
      <c r="EO24" s="281"/>
      <c r="EP24" s="281"/>
      <c r="EQ24" s="281"/>
      <c r="ER24" s="281"/>
      <c r="ES24" s="281"/>
      <c r="ET24" s="281"/>
      <c r="EU24" s="281"/>
      <c r="EV24" s="281"/>
      <c r="EW24" s="281"/>
      <c r="EX24" s="281"/>
      <c r="EY24" s="281"/>
      <c r="EZ24" s="281"/>
      <c r="FA24" s="281"/>
      <c r="FB24" s="281"/>
      <c r="FC24" s="281"/>
      <c r="FD24" s="281"/>
      <c r="FE24" s="281"/>
      <c r="FF24" s="281"/>
      <c r="FG24" s="281"/>
      <c r="FH24" s="281"/>
      <c r="FI24" s="281"/>
      <c r="FJ24" s="281"/>
      <c r="FK24" s="281"/>
      <c r="FL24" s="281"/>
      <c r="FM24" s="281"/>
      <c r="FN24" s="281"/>
      <c r="FO24" s="281"/>
      <c r="FP24" s="281"/>
      <c r="FQ24" s="281"/>
      <c r="FR24" s="281"/>
      <c r="FS24" s="281"/>
      <c r="FT24" s="281"/>
      <c r="FU24" s="281"/>
      <c r="FV24" s="281"/>
      <c r="FW24" s="281"/>
      <c r="FX24" s="281"/>
      <c r="FY24" s="281"/>
      <c r="FZ24" s="281"/>
      <c r="GA24" s="281"/>
      <c r="GB24" s="281"/>
      <c r="GC24" s="281"/>
      <c r="GD24" s="281"/>
      <c r="GE24" s="281"/>
      <c r="GF24" s="281"/>
      <c r="GG24" s="281"/>
      <c r="GH24" s="281"/>
      <c r="GI24" s="281"/>
      <c r="GJ24" s="281"/>
      <c r="GK24" s="281"/>
      <c r="GL24" s="281"/>
      <c r="GM24" s="281"/>
      <c r="GN24" s="281"/>
      <c r="GO24" s="281"/>
      <c r="GP24" s="281"/>
      <c r="GQ24" s="281"/>
      <c r="GR24" s="281"/>
      <c r="GS24" s="281"/>
      <c r="GT24" s="281"/>
      <c r="GU24" s="281"/>
      <c r="GV24" s="281"/>
      <c r="GW24" s="281"/>
      <c r="GX24" s="281"/>
      <c r="GY24" s="281"/>
      <c r="GZ24" s="281"/>
      <c r="HA24" s="281"/>
      <c r="HB24" s="281"/>
      <c r="HC24" s="281"/>
      <c r="HD24" s="281"/>
      <c r="HE24" s="281"/>
      <c r="HF24" s="281"/>
      <c r="HG24" s="281"/>
      <c r="HH24" s="281"/>
      <c r="HI24" s="281"/>
      <c r="HJ24" s="281"/>
      <c r="HK24" s="281"/>
      <c r="HL24" s="281"/>
      <c r="HM24" s="281"/>
      <c r="HN24" s="281"/>
      <c r="HO24" s="281"/>
      <c r="HP24" s="281"/>
      <c r="HQ24" s="281"/>
      <c r="HR24" s="281"/>
      <c r="HS24" s="281"/>
      <c r="HT24" s="281"/>
      <c r="HU24" s="281"/>
      <c r="HV24" s="281"/>
      <c r="HW24" s="281"/>
      <c r="HX24" s="281"/>
      <c r="HY24" s="281"/>
      <c r="HZ24" s="281"/>
      <c r="IA24" s="281"/>
      <c r="IB24" s="281"/>
      <c r="IC24" s="281"/>
      <c r="ID24" s="281"/>
      <c r="IE24" s="281"/>
      <c r="IF24" s="281"/>
      <c r="IG24" s="281"/>
      <c r="IH24" s="281"/>
      <c r="II24" s="281"/>
      <c r="IJ24" s="281"/>
      <c r="IK24" s="281"/>
      <c r="IL24" s="281"/>
      <c r="IM24" s="281"/>
      <c r="IN24" s="281"/>
      <c r="IO24" s="281"/>
      <c r="IP24" s="282"/>
    </row>
    <row r="25" spans="1:250" ht="21" customHeight="1" x14ac:dyDescent="0.15">
      <c r="A25" s="283"/>
      <c r="B25" s="284"/>
      <c r="C25" s="304" t="s">
        <v>14</v>
      </c>
      <c r="D25" s="2042">
        <f>Données!F35</f>
        <v>10.178930812949</v>
      </c>
      <c r="E25" s="365">
        <f>80-(((13-D25)*80)/100)</f>
        <v>77.743144650359199</v>
      </c>
      <c r="F25" s="366">
        <v>7</v>
      </c>
      <c r="G25" s="288"/>
      <c r="H25" s="307" t="s">
        <v>15</v>
      </c>
      <c r="I25" s="2615">
        <v>40.643081509114907</v>
      </c>
      <c r="J25" s="362">
        <f>90-((I25*90)/100)</f>
        <v>53.421226641796586</v>
      </c>
      <c r="K25" s="363">
        <v>7</v>
      </c>
      <c r="L25" s="288"/>
      <c r="M25" s="2596" t="s">
        <v>9</v>
      </c>
      <c r="N25" s="2597">
        <v>1540.1972611302065</v>
      </c>
      <c r="O25" s="2014">
        <v>2.0662008275565427</v>
      </c>
      <c r="P25" s="2598">
        <v>7</v>
      </c>
      <c r="Q25" s="288"/>
      <c r="R25" s="2631" t="s">
        <v>16</v>
      </c>
      <c r="S25" s="2635">
        <f>'H Equa'!J25</f>
        <v>1</v>
      </c>
      <c r="T25" s="2635">
        <f>'H Equa'!J26</f>
        <v>0</v>
      </c>
      <c r="U25" s="2635">
        <f>'H Equa'!J27</f>
        <v>0</v>
      </c>
      <c r="V25" s="2635">
        <f>'H Equa'!J28</f>
        <v>2</v>
      </c>
      <c r="W25" s="2635">
        <f>'H Equa'!J29</f>
        <v>0</v>
      </c>
      <c r="X25" s="2635">
        <f>'H Equa'!J30</f>
        <v>0</v>
      </c>
      <c r="Y25" s="2635">
        <f>'H Equa'!J31</f>
        <v>0</v>
      </c>
      <c r="Z25" s="2636">
        <f>'H Equa'!J33</f>
        <v>7</v>
      </c>
      <c r="AA25" s="437"/>
      <c r="AB25" s="335" t="s">
        <v>17</v>
      </c>
      <c r="AC25" s="717">
        <f>'H Equa'!K6</f>
        <v>2.1274865619034244E-2</v>
      </c>
      <c r="AD25" s="400">
        <f>'H Equa'!K7</f>
        <v>5.5547952007922312</v>
      </c>
      <c r="AE25" s="401">
        <v>7</v>
      </c>
      <c r="AF25" s="301"/>
      <c r="AG25" s="544"/>
      <c r="AH25" s="1758">
        <v>7</v>
      </c>
      <c r="AI25" s="542" t="s">
        <v>11</v>
      </c>
      <c r="AJ25" s="543">
        <v>30</v>
      </c>
      <c r="AK25" s="1759">
        <f t="shared" si="2"/>
        <v>6</v>
      </c>
      <c r="AL25" s="544"/>
      <c r="AM25" s="544"/>
      <c r="AN25" s="281"/>
      <c r="AO25" s="1704"/>
      <c r="AP25" s="1704"/>
      <c r="AQ25" s="1704"/>
      <c r="AR25" s="1704"/>
      <c r="AS25" s="1704"/>
      <c r="AT25" s="1704"/>
      <c r="AU25" s="1704"/>
      <c r="AV25" s="1704"/>
      <c r="AW25" s="1704"/>
      <c r="AX25" s="1704"/>
      <c r="AY25" s="1704"/>
      <c r="AZ25" s="1704"/>
      <c r="BA25" s="1704"/>
      <c r="BB25" s="281"/>
      <c r="BC25" s="281"/>
      <c r="BD25" s="281"/>
      <c r="BE25" s="281"/>
      <c r="BF25" s="281"/>
      <c r="BG25" s="281"/>
      <c r="BH25" s="281"/>
      <c r="BI25" s="281"/>
      <c r="BJ25" s="281"/>
      <c r="BK25" s="281"/>
      <c r="BL25" s="281"/>
      <c r="BM25" s="281"/>
      <c r="BN25" s="281"/>
      <c r="BO25" s="281"/>
      <c r="BP25" s="281"/>
      <c r="BQ25" s="281"/>
      <c r="BR25" s="281"/>
      <c r="BS25" s="281"/>
      <c r="BT25" s="281"/>
      <c r="BU25" s="281"/>
      <c r="BV25" s="281"/>
      <c r="BW25" s="281"/>
      <c r="BX25" s="281"/>
      <c r="BY25" s="281"/>
      <c r="BZ25" s="281"/>
      <c r="CA25" s="281"/>
      <c r="CB25" s="281"/>
      <c r="CC25" s="281"/>
      <c r="CD25" s="281"/>
      <c r="CE25" s="281"/>
      <c r="CF25" s="281"/>
      <c r="CG25" s="281"/>
      <c r="CH25" s="281"/>
      <c r="CI25" s="281"/>
      <c r="CJ25" s="281"/>
      <c r="CK25" s="281"/>
      <c r="CL25" s="281"/>
      <c r="CM25" s="281"/>
      <c r="CN25" s="281"/>
      <c r="CO25" s="281"/>
      <c r="CP25" s="281"/>
      <c r="CQ25" s="281"/>
      <c r="CR25" s="281"/>
      <c r="CS25" s="281"/>
      <c r="CT25" s="281"/>
      <c r="CU25" s="281"/>
      <c r="CV25" s="281"/>
      <c r="CW25" s="281"/>
      <c r="CX25" s="281"/>
      <c r="CY25" s="281"/>
      <c r="CZ25" s="281"/>
      <c r="DA25" s="281"/>
      <c r="DB25" s="281"/>
      <c r="DC25" s="281"/>
      <c r="DD25" s="281"/>
      <c r="DE25" s="281"/>
      <c r="DF25" s="281"/>
      <c r="DG25" s="281"/>
      <c r="DH25" s="281"/>
      <c r="DI25" s="281"/>
      <c r="DJ25" s="281"/>
      <c r="DK25" s="281"/>
      <c r="DL25" s="281"/>
      <c r="DM25" s="281"/>
      <c r="DN25" s="281"/>
      <c r="DO25" s="281"/>
      <c r="DP25" s="281"/>
      <c r="DQ25" s="281"/>
      <c r="DR25" s="281"/>
      <c r="DS25" s="281"/>
      <c r="DT25" s="281"/>
      <c r="DU25" s="281"/>
      <c r="DV25" s="281"/>
      <c r="DW25" s="281"/>
      <c r="DX25" s="281"/>
      <c r="DY25" s="281"/>
      <c r="DZ25" s="281"/>
      <c r="EA25" s="281"/>
      <c r="EB25" s="281"/>
      <c r="EC25" s="281"/>
      <c r="ED25" s="281"/>
      <c r="EE25" s="281"/>
      <c r="EF25" s="281"/>
      <c r="EG25" s="281"/>
      <c r="EH25" s="281"/>
      <c r="EI25" s="281"/>
      <c r="EJ25" s="281"/>
      <c r="EK25" s="281"/>
      <c r="EL25" s="281"/>
      <c r="EM25" s="281"/>
      <c r="EN25" s="281"/>
      <c r="EO25" s="281"/>
      <c r="EP25" s="281"/>
      <c r="EQ25" s="281"/>
      <c r="ER25" s="281"/>
      <c r="ES25" s="281"/>
      <c r="ET25" s="281"/>
      <c r="EU25" s="281"/>
      <c r="EV25" s="281"/>
      <c r="EW25" s="281"/>
      <c r="EX25" s="281"/>
      <c r="EY25" s="281"/>
      <c r="EZ25" s="281"/>
      <c r="FA25" s="281"/>
      <c r="FB25" s="281"/>
      <c r="FC25" s="281"/>
      <c r="FD25" s="281"/>
      <c r="FE25" s="281"/>
      <c r="FF25" s="281"/>
      <c r="FG25" s="281"/>
      <c r="FH25" s="281"/>
      <c r="FI25" s="281"/>
      <c r="FJ25" s="281"/>
      <c r="FK25" s="281"/>
      <c r="FL25" s="281"/>
      <c r="FM25" s="281"/>
      <c r="FN25" s="281"/>
      <c r="FO25" s="281"/>
      <c r="FP25" s="281"/>
      <c r="FQ25" s="281"/>
      <c r="FR25" s="281"/>
      <c r="FS25" s="281"/>
      <c r="FT25" s="281"/>
      <c r="FU25" s="281"/>
      <c r="FV25" s="281"/>
      <c r="FW25" s="281"/>
      <c r="FX25" s="281"/>
      <c r="FY25" s="281"/>
      <c r="FZ25" s="281"/>
      <c r="GA25" s="281"/>
      <c r="GB25" s="281"/>
      <c r="GC25" s="281"/>
      <c r="GD25" s="281"/>
      <c r="GE25" s="281"/>
      <c r="GF25" s="281"/>
      <c r="GG25" s="281"/>
      <c r="GH25" s="281"/>
      <c r="GI25" s="281"/>
      <c r="GJ25" s="281"/>
      <c r="GK25" s="281"/>
      <c r="GL25" s="281"/>
      <c r="GM25" s="281"/>
      <c r="GN25" s="281"/>
      <c r="GO25" s="281"/>
      <c r="GP25" s="281"/>
      <c r="GQ25" s="281"/>
      <c r="GR25" s="281"/>
      <c r="GS25" s="281"/>
      <c r="GT25" s="281"/>
      <c r="GU25" s="281"/>
      <c r="GV25" s="281"/>
      <c r="GW25" s="281"/>
      <c r="GX25" s="281"/>
      <c r="GY25" s="281"/>
      <c r="GZ25" s="281"/>
      <c r="HA25" s="281"/>
      <c r="HB25" s="281"/>
      <c r="HC25" s="281"/>
      <c r="HD25" s="281"/>
      <c r="HE25" s="281"/>
      <c r="HF25" s="281"/>
      <c r="HG25" s="281"/>
      <c r="HH25" s="281"/>
      <c r="HI25" s="281"/>
      <c r="HJ25" s="281"/>
      <c r="HK25" s="281"/>
      <c r="HL25" s="281"/>
      <c r="HM25" s="281"/>
      <c r="HN25" s="281"/>
      <c r="HO25" s="281"/>
      <c r="HP25" s="281"/>
      <c r="HQ25" s="281"/>
      <c r="HR25" s="281"/>
      <c r="HS25" s="281"/>
      <c r="HT25" s="281"/>
      <c r="HU25" s="281"/>
      <c r="HV25" s="281"/>
      <c r="HW25" s="281"/>
      <c r="HX25" s="281"/>
      <c r="HY25" s="281"/>
      <c r="HZ25" s="281"/>
      <c r="IA25" s="281"/>
      <c r="IB25" s="281"/>
      <c r="IC25" s="281"/>
      <c r="ID25" s="281"/>
      <c r="IE25" s="281"/>
      <c r="IF25" s="281"/>
      <c r="IG25" s="281"/>
      <c r="IH25" s="281"/>
      <c r="II25" s="281"/>
      <c r="IJ25" s="281"/>
      <c r="IK25" s="281"/>
      <c r="IL25" s="281"/>
      <c r="IM25" s="281"/>
      <c r="IN25" s="281"/>
      <c r="IO25" s="281"/>
      <c r="IP25" s="282"/>
    </row>
    <row r="26" spans="1:250" ht="23" customHeight="1" x14ac:dyDescent="0.15">
      <c r="A26" s="283"/>
      <c r="B26" s="284"/>
      <c r="C26" s="313" t="s">
        <v>10</v>
      </c>
      <c r="D26" s="2045">
        <f>Données!F31</f>
        <v>16.030688583313999</v>
      </c>
      <c r="E26" s="314">
        <f>80-(((D26-13)*80)/100)</f>
        <v>77.575449133348798</v>
      </c>
      <c r="F26" s="535">
        <v>8</v>
      </c>
      <c r="G26" s="288"/>
      <c r="H26" s="16" t="s">
        <v>23</v>
      </c>
      <c r="I26" s="2464">
        <v>40.71</v>
      </c>
      <c r="J26" s="362">
        <f>85-((I26*85)/100)</f>
        <v>50.396500000000003</v>
      </c>
      <c r="K26" s="342">
        <v>8</v>
      </c>
      <c r="L26" s="288"/>
      <c r="M26" s="2599" t="s">
        <v>14</v>
      </c>
      <c r="N26" s="2526">
        <v>7.7577368739193702</v>
      </c>
      <c r="O26" s="2600">
        <v>0.12865566953826998</v>
      </c>
      <c r="P26" s="2601">
        <v>8</v>
      </c>
      <c r="Q26" s="288"/>
      <c r="R26" s="335" t="s">
        <v>17</v>
      </c>
      <c r="S26" s="2073">
        <f>'H Equa'!K25</f>
        <v>1</v>
      </c>
      <c r="T26" s="2073">
        <f>'H Equa'!K26</f>
        <v>0</v>
      </c>
      <c r="U26" s="2073">
        <f>'H Equa'!K27</f>
        <v>0</v>
      </c>
      <c r="V26" s="2073">
        <f>'H Equa'!K28</f>
        <v>2</v>
      </c>
      <c r="W26" s="2073">
        <f>'H Equa'!K29</f>
        <v>0</v>
      </c>
      <c r="X26" s="2073">
        <f>'H Equa'!K30</f>
        <v>0</v>
      </c>
      <c r="Y26" s="2073">
        <f>'H Equa'!K31</f>
        <v>0</v>
      </c>
      <c r="Z26" s="337">
        <f>'H Equa'!K33</f>
        <v>8</v>
      </c>
      <c r="AA26" s="452"/>
      <c r="AB26" s="313" t="s">
        <v>10</v>
      </c>
      <c r="AC26" s="2552">
        <f>'H Equa'!D6</f>
        <v>1.2018345996890218</v>
      </c>
      <c r="AD26" s="314">
        <f>'H Equa'!D7</f>
        <v>5.5468435855864771</v>
      </c>
      <c r="AE26" s="448">
        <v>8</v>
      </c>
      <c r="AF26" s="301"/>
      <c r="AG26" s="549"/>
      <c r="AH26" s="1764">
        <v>8</v>
      </c>
      <c r="AI26" s="387" t="s">
        <v>17</v>
      </c>
      <c r="AJ26" s="531">
        <v>31</v>
      </c>
      <c r="AK26" s="1765">
        <f t="shared" si="2"/>
        <v>6.2</v>
      </c>
      <c r="AL26" s="549"/>
      <c r="AM26" s="549"/>
      <c r="AN26" s="281"/>
      <c r="AO26" s="1704"/>
      <c r="AP26" s="1704"/>
      <c r="AQ26" s="1704"/>
      <c r="AR26" s="1704"/>
      <c r="AS26" s="1704"/>
      <c r="AT26" s="1704"/>
      <c r="AU26" s="1704"/>
      <c r="AV26" s="1704"/>
      <c r="AW26" s="1704"/>
      <c r="AX26" s="1704"/>
      <c r="AY26" s="1704"/>
      <c r="AZ26" s="1704"/>
      <c r="BA26" s="1704"/>
      <c r="BB26" s="281"/>
      <c r="BC26" s="281"/>
      <c r="BD26" s="281"/>
      <c r="BE26" s="281"/>
      <c r="BF26" s="281"/>
      <c r="BG26" s="281"/>
      <c r="BH26" s="281"/>
      <c r="BI26" s="281"/>
      <c r="BJ26" s="281"/>
      <c r="BK26" s="281"/>
      <c r="BL26" s="281"/>
      <c r="BM26" s="281"/>
      <c r="BN26" s="281"/>
      <c r="BO26" s="281"/>
      <c r="BP26" s="281"/>
      <c r="BQ26" s="281"/>
      <c r="BR26" s="281"/>
      <c r="BS26" s="281"/>
      <c r="BT26" s="281"/>
      <c r="BU26" s="281"/>
      <c r="BV26" s="281"/>
      <c r="BW26" s="281"/>
      <c r="BX26" s="281"/>
      <c r="BY26" s="281"/>
      <c r="BZ26" s="281"/>
      <c r="CA26" s="281"/>
      <c r="CB26" s="281"/>
      <c r="CC26" s="281"/>
      <c r="CD26" s="281"/>
      <c r="CE26" s="281"/>
      <c r="CF26" s="281"/>
      <c r="CG26" s="281"/>
      <c r="CH26" s="281"/>
      <c r="CI26" s="281"/>
      <c r="CJ26" s="281"/>
      <c r="CK26" s="281"/>
      <c r="CL26" s="281"/>
      <c r="CM26" s="281"/>
      <c r="CN26" s="281"/>
      <c r="CO26" s="281"/>
      <c r="CP26" s="281"/>
      <c r="CQ26" s="281"/>
      <c r="CR26" s="281"/>
      <c r="CS26" s="281"/>
      <c r="CT26" s="281"/>
      <c r="CU26" s="281"/>
      <c r="CV26" s="281"/>
      <c r="CW26" s="281"/>
      <c r="CX26" s="281"/>
      <c r="CY26" s="281"/>
      <c r="CZ26" s="281"/>
      <c r="DA26" s="281"/>
      <c r="DB26" s="281"/>
      <c r="DC26" s="281"/>
      <c r="DD26" s="281"/>
      <c r="DE26" s="281"/>
      <c r="DF26" s="281"/>
      <c r="DG26" s="281"/>
      <c r="DH26" s="281"/>
      <c r="DI26" s="281"/>
      <c r="DJ26" s="281"/>
      <c r="DK26" s="281"/>
      <c r="DL26" s="281"/>
      <c r="DM26" s="281"/>
      <c r="DN26" s="281"/>
      <c r="DO26" s="281"/>
      <c r="DP26" s="281"/>
      <c r="DQ26" s="281"/>
      <c r="DR26" s="281"/>
      <c r="DS26" s="281"/>
      <c r="DT26" s="281"/>
      <c r="DU26" s="281"/>
      <c r="DV26" s="281"/>
      <c r="DW26" s="281"/>
      <c r="DX26" s="281"/>
      <c r="DY26" s="281"/>
      <c r="DZ26" s="281"/>
      <c r="EA26" s="281"/>
      <c r="EB26" s="281"/>
      <c r="EC26" s="281"/>
      <c r="ED26" s="281"/>
      <c r="EE26" s="281"/>
      <c r="EF26" s="281"/>
      <c r="EG26" s="281"/>
      <c r="EH26" s="281"/>
      <c r="EI26" s="281"/>
      <c r="EJ26" s="281"/>
      <c r="EK26" s="281"/>
      <c r="EL26" s="281"/>
      <c r="EM26" s="281"/>
      <c r="EN26" s="281"/>
      <c r="EO26" s="281"/>
      <c r="EP26" s="281"/>
      <c r="EQ26" s="281"/>
      <c r="ER26" s="281"/>
      <c r="ES26" s="281"/>
      <c r="ET26" s="281"/>
      <c r="EU26" s="281"/>
      <c r="EV26" s="281"/>
      <c r="EW26" s="281"/>
      <c r="EX26" s="281"/>
      <c r="EY26" s="281"/>
      <c r="EZ26" s="281"/>
      <c r="FA26" s="281"/>
      <c r="FB26" s="281"/>
      <c r="FC26" s="281"/>
      <c r="FD26" s="281"/>
      <c r="FE26" s="281"/>
      <c r="FF26" s="281"/>
      <c r="FG26" s="281"/>
      <c r="FH26" s="281"/>
      <c r="FI26" s="281"/>
      <c r="FJ26" s="281"/>
      <c r="FK26" s="281"/>
      <c r="FL26" s="281"/>
      <c r="FM26" s="281"/>
      <c r="FN26" s="281"/>
      <c r="FO26" s="281"/>
      <c r="FP26" s="281"/>
      <c r="FQ26" s="281"/>
      <c r="FR26" s="281"/>
      <c r="FS26" s="281"/>
      <c r="FT26" s="281"/>
      <c r="FU26" s="281"/>
      <c r="FV26" s="281"/>
      <c r="FW26" s="281"/>
      <c r="FX26" s="281"/>
      <c r="FY26" s="281"/>
      <c r="FZ26" s="281"/>
      <c r="GA26" s="281"/>
      <c r="GB26" s="281"/>
      <c r="GC26" s="281"/>
      <c r="GD26" s="281"/>
      <c r="GE26" s="281"/>
      <c r="GF26" s="281"/>
      <c r="GG26" s="281"/>
      <c r="GH26" s="281"/>
      <c r="GI26" s="281"/>
      <c r="GJ26" s="281"/>
      <c r="GK26" s="281"/>
      <c r="GL26" s="281"/>
      <c r="GM26" s="281"/>
      <c r="GN26" s="281"/>
      <c r="GO26" s="281"/>
      <c r="GP26" s="281"/>
      <c r="GQ26" s="281"/>
      <c r="GR26" s="281"/>
      <c r="GS26" s="281"/>
      <c r="GT26" s="281"/>
      <c r="GU26" s="281"/>
      <c r="GV26" s="281"/>
      <c r="GW26" s="281"/>
      <c r="GX26" s="281"/>
      <c r="GY26" s="281"/>
      <c r="GZ26" s="281"/>
      <c r="HA26" s="281"/>
      <c r="HB26" s="281"/>
      <c r="HC26" s="281"/>
      <c r="HD26" s="281"/>
      <c r="HE26" s="281"/>
      <c r="HF26" s="281"/>
      <c r="HG26" s="281"/>
      <c r="HH26" s="281"/>
      <c r="HI26" s="281"/>
      <c r="HJ26" s="281"/>
      <c r="HK26" s="281"/>
      <c r="HL26" s="281"/>
      <c r="HM26" s="281"/>
      <c r="HN26" s="281"/>
      <c r="HO26" s="281"/>
      <c r="HP26" s="281"/>
      <c r="HQ26" s="281"/>
      <c r="HR26" s="281"/>
      <c r="HS26" s="281"/>
      <c r="HT26" s="281"/>
      <c r="HU26" s="281"/>
      <c r="HV26" s="281"/>
      <c r="HW26" s="281"/>
      <c r="HX26" s="281"/>
      <c r="HY26" s="281"/>
      <c r="HZ26" s="281"/>
      <c r="IA26" s="281"/>
      <c r="IB26" s="281"/>
      <c r="IC26" s="281"/>
      <c r="ID26" s="281"/>
      <c r="IE26" s="281"/>
      <c r="IF26" s="281"/>
      <c r="IG26" s="281"/>
      <c r="IH26" s="281"/>
      <c r="II26" s="281"/>
      <c r="IJ26" s="281"/>
      <c r="IK26" s="281"/>
      <c r="IL26" s="281"/>
      <c r="IM26" s="281"/>
      <c r="IN26" s="281"/>
      <c r="IO26" s="281"/>
      <c r="IP26" s="282"/>
    </row>
    <row r="27" spans="1:250" ht="21" customHeight="1" x14ac:dyDescent="0.15">
      <c r="A27" s="283"/>
      <c r="B27" s="284"/>
      <c r="C27" s="16" t="s">
        <v>23</v>
      </c>
      <c r="D27" s="2041">
        <f>Données!F33</f>
        <v>16.036914506689001</v>
      </c>
      <c r="E27" s="434">
        <f>80-(((D27-13)*80)/100)</f>
        <v>77.570468394648799</v>
      </c>
      <c r="F27" s="435">
        <v>9</v>
      </c>
      <c r="G27" s="288"/>
      <c r="H27" s="335" t="s">
        <v>17</v>
      </c>
      <c r="I27" s="2077">
        <v>42.11</v>
      </c>
      <c r="J27" s="336">
        <f>80-((I27*80)/100)</f>
        <v>46.311999999999998</v>
      </c>
      <c r="K27" s="337">
        <v>9</v>
      </c>
      <c r="L27" s="288"/>
      <c r="M27" s="2602" t="s">
        <v>13</v>
      </c>
      <c r="N27" s="2527">
        <v>1.8323977126137002E-2</v>
      </c>
      <c r="O27" s="2603">
        <v>4.2966305407365624E-2</v>
      </c>
      <c r="P27" s="2604">
        <v>9</v>
      </c>
      <c r="Q27" s="288"/>
      <c r="R27" s="316" t="s">
        <v>9</v>
      </c>
      <c r="S27" s="505">
        <f>'H Equa'!C25</f>
        <v>0</v>
      </c>
      <c r="T27" s="505">
        <f>'H Equa'!C26</f>
        <v>0</v>
      </c>
      <c r="U27" s="505">
        <f>'H Equa'!C27</f>
        <v>2</v>
      </c>
      <c r="V27" s="505">
        <f>'H Equa'!C28</f>
        <v>4</v>
      </c>
      <c r="W27" s="505">
        <f>'H Equa'!C29</f>
        <v>0</v>
      </c>
      <c r="X27" s="505">
        <f>'H Equa'!C30</f>
        <v>0</v>
      </c>
      <c r="Y27" s="505">
        <f>'H Equa'!C31</f>
        <v>0</v>
      </c>
      <c r="Z27" s="506">
        <f>'H Equa'!C33</f>
        <v>9</v>
      </c>
      <c r="AA27" s="472"/>
      <c r="AB27" s="2631" t="s">
        <v>16</v>
      </c>
      <c r="AC27" s="2632">
        <f>'H Equa'!J6</f>
        <v>3.4660394962997998E-2</v>
      </c>
      <c r="AD27" s="2633">
        <f>'H Equa'!J7</f>
        <v>5.4755758235383887</v>
      </c>
      <c r="AE27" s="2634">
        <v>9</v>
      </c>
      <c r="AF27" s="301"/>
      <c r="AG27" s="554"/>
      <c r="AH27" s="1762">
        <v>9</v>
      </c>
      <c r="AI27" s="372" t="s">
        <v>15</v>
      </c>
      <c r="AJ27" s="507">
        <v>36</v>
      </c>
      <c r="AK27" s="1763">
        <f t="shared" si="2"/>
        <v>7.2</v>
      </c>
      <c r="AL27" s="554"/>
      <c r="AM27" s="554"/>
      <c r="AN27" s="281"/>
      <c r="AO27" s="1704"/>
      <c r="AP27" s="1704"/>
      <c r="AQ27" s="1704"/>
      <c r="AR27" s="1704"/>
      <c r="AS27" s="1704"/>
      <c r="AT27" s="1704"/>
      <c r="AU27" s="1704"/>
      <c r="AV27" s="1704"/>
      <c r="AW27" s="1704"/>
      <c r="AX27" s="1704"/>
      <c r="AY27" s="1704"/>
      <c r="AZ27" s="1704"/>
      <c r="BA27" s="1704"/>
      <c r="BB27" s="281"/>
      <c r="BC27" s="281"/>
      <c r="BD27" s="281"/>
      <c r="BE27" s="281"/>
      <c r="BF27" s="281"/>
      <c r="BG27" s="281"/>
      <c r="BH27" s="281"/>
      <c r="BI27" s="281"/>
      <c r="BJ27" s="281"/>
      <c r="BK27" s="281"/>
      <c r="BL27" s="281"/>
      <c r="BM27" s="281"/>
      <c r="BN27" s="281"/>
      <c r="BO27" s="281"/>
      <c r="BP27" s="281"/>
      <c r="BQ27" s="281"/>
      <c r="BR27" s="281"/>
      <c r="BS27" s="281"/>
      <c r="BT27" s="281"/>
      <c r="BU27" s="281"/>
      <c r="BV27" s="281"/>
      <c r="BW27" s="281"/>
      <c r="BX27" s="281"/>
      <c r="BY27" s="281"/>
      <c r="BZ27" s="281"/>
      <c r="CA27" s="281"/>
      <c r="CB27" s="281"/>
      <c r="CC27" s="281"/>
      <c r="CD27" s="281"/>
      <c r="CE27" s="281"/>
      <c r="CF27" s="281"/>
      <c r="CG27" s="281"/>
      <c r="CH27" s="281"/>
      <c r="CI27" s="281"/>
      <c r="CJ27" s="281"/>
      <c r="CK27" s="281"/>
      <c r="CL27" s="281"/>
      <c r="CM27" s="281"/>
      <c r="CN27" s="281"/>
      <c r="CO27" s="281"/>
      <c r="CP27" s="281"/>
      <c r="CQ27" s="281"/>
      <c r="CR27" s="281"/>
      <c r="CS27" s="281"/>
      <c r="CT27" s="281"/>
      <c r="CU27" s="281"/>
      <c r="CV27" s="281"/>
      <c r="CW27" s="281"/>
      <c r="CX27" s="281"/>
      <c r="CY27" s="281"/>
      <c r="CZ27" s="281"/>
      <c r="DA27" s="281"/>
      <c r="DB27" s="281"/>
      <c r="DC27" s="281"/>
      <c r="DD27" s="281"/>
      <c r="DE27" s="281"/>
      <c r="DF27" s="281"/>
      <c r="DG27" s="281"/>
      <c r="DH27" s="281"/>
      <c r="DI27" s="281"/>
      <c r="DJ27" s="281"/>
      <c r="DK27" s="281"/>
      <c r="DL27" s="281"/>
      <c r="DM27" s="281"/>
      <c r="DN27" s="281"/>
      <c r="DO27" s="281"/>
      <c r="DP27" s="281"/>
      <c r="DQ27" s="281"/>
      <c r="DR27" s="281"/>
      <c r="DS27" s="281"/>
      <c r="DT27" s="281"/>
      <c r="DU27" s="281"/>
      <c r="DV27" s="281"/>
      <c r="DW27" s="281"/>
      <c r="DX27" s="281"/>
      <c r="DY27" s="281"/>
      <c r="DZ27" s="281"/>
      <c r="EA27" s="281"/>
      <c r="EB27" s="281"/>
      <c r="EC27" s="281"/>
      <c r="ED27" s="281"/>
      <c r="EE27" s="281"/>
      <c r="EF27" s="281"/>
      <c r="EG27" s="281"/>
      <c r="EH27" s="281"/>
      <c r="EI27" s="281"/>
      <c r="EJ27" s="281"/>
      <c r="EK27" s="281"/>
      <c r="EL27" s="281"/>
      <c r="EM27" s="281"/>
      <c r="EN27" s="281"/>
      <c r="EO27" s="281"/>
      <c r="EP27" s="281"/>
      <c r="EQ27" s="281"/>
      <c r="ER27" s="281"/>
      <c r="ES27" s="281"/>
      <c r="ET27" s="281"/>
      <c r="EU27" s="281"/>
      <c r="EV27" s="281"/>
      <c r="EW27" s="281"/>
      <c r="EX27" s="281"/>
      <c r="EY27" s="281"/>
      <c r="EZ27" s="281"/>
      <c r="FA27" s="281"/>
      <c r="FB27" s="281"/>
      <c r="FC27" s="281"/>
      <c r="FD27" s="281"/>
      <c r="FE27" s="281"/>
      <c r="FF27" s="281"/>
      <c r="FG27" s="281"/>
      <c r="FH27" s="281"/>
      <c r="FI27" s="281"/>
      <c r="FJ27" s="281"/>
      <c r="FK27" s="281"/>
      <c r="FL27" s="281"/>
      <c r="FM27" s="281"/>
      <c r="FN27" s="281"/>
      <c r="FO27" s="281"/>
      <c r="FP27" s="281"/>
      <c r="FQ27" s="281"/>
      <c r="FR27" s="281"/>
      <c r="FS27" s="281"/>
      <c r="FT27" s="281"/>
      <c r="FU27" s="281"/>
      <c r="FV27" s="281"/>
      <c r="FW27" s="281"/>
      <c r="FX27" s="281"/>
      <c r="FY27" s="281"/>
      <c r="FZ27" s="281"/>
      <c r="GA27" s="281"/>
      <c r="GB27" s="281"/>
      <c r="GC27" s="281"/>
      <c r="GD27" s="281"/>
      <c r="GE27" s="281"/>
      <c r="GF27" s="281"/>
      <c r="GG27" s="281"/>
      <c r="GH27" s="281"/>
      <c r="GI27" s="281"/>
      <c r="GJ27" s="281"/>
      <c r="GK27" s="281"/>
      <c r="GL27" s="281"/>
      <c r="GM27" s="281"/>
      <c r="GN27" s="281"/>
      <c r="GO27" s="281"/>
      <c r="GP27" s="281"/>
      <c r="GQ27" s="281"/>
      <c r="GR27" s="281"/>
      <c r="GS27" s="281"/>
      <c r="GT27" s="281"/>
      <c r="GU27" s="281"/>
      <c r="GV27" s="281"/>
      <c r="GW27" s="281"/>
      <c r="GX27" s="281"/>
      <c r="GY27" s="281"/>
      <c r="GZ27" s="281"/>
      <c r="HA27" s="281"/>
      <c r="HB27" s="281"/>
      <c r="HC27" s="281"/>
      <c r="HD27" s="281"/>
      <c r="HE27" s="281"/>
      <c r="HF27" s="281"/>
      <c r="HG27" s="281"/>
      <c r="HH27" s="281"/>
      <c r="HI27" s="281"/>
      <c r="HJ27" s="281"/>
      <c r="HK27" s="281"/>
      <c r="HL27" s="281"/>
      <c r="HM27" s="281"/>
      <c r="HN27" s="281"/>
      <c r="HO27" s="281"/>
      <c r="HP27" s="281"/>
      <c r="HQ27" s="281"/>
      <c r="HR27" s="281"/>
      <c r="HS27" s="281"/>
      <c r="HT27" s="281"/>
      <c r="HU27" s="281"/>
      <c r="HV27" s="281"/>
      <c r="HW27" s="281"/>
      <c r="HX27" s="281"/>
      <c r="HY27" s="281"/>
      <c r="HZ27" s="281"/>
      <c r="IA27" s="281"/>
      <c r="IB27" s="281"/>
      <c r="IC27" s="281"/>
      <c r="ID27" s="281"/>
      <c r="IE27" s="281"/>
      <c r="IF27" s="281"/>
      <c r="IG27" s="281"/>
      <c r="IH27" s="281"/>
      <c r="II27" s="281"/>
      <c r="IJ27" s="281"/>
      <c r="IK27" s="281"/>
      <c r="IL27" s="281"/>
      <c r="IM27" s="281"/>
      <c r="IN27" s="281"/>
      <c r="IO27" s="281"/>
      <c r="IP27" s="282"/>
    </row>
    <row r="28" spans="1:250" ht="21" customHeight="1" x14ac:dyDescent="0.15">
      <c r="A28" s="283"/>
      <c r="B28" s="284"/>
      <c r="C28" s="480" t="s">
        <v>11</v>
      </c>
      <c r="D28" s="2075">
        <v>17.839905688849999</v>
      </c>
      <c r="E28" s="1613">
        <f>80-(((D28-13)*80)/100)</f>
        <v>76.128075448920001</v>
      </c>
      <c r="F28" s="1614">
        <v>10</v>
      </c>
      <c r="G28" s="288"/>
      <c r="H28" s="2641" t="s">
        <v>16</v>
      </c>
      <c r="I28" s="2642">
        <v>42.28</v>
      </c>
      <c r="J28" s="2643">
        <f>80-((I28*80)/100)</f>
        <v>46.176000000000002</v>
      </c>
      <c r="K28" s="2644">
        <v>10</v>
      </c>
      <c r="L28" s="288"/>
      <c r="M28" s="2605" t="s">
        <v>11</v>
      </c>
      <c r="N28" s="2606">
        <v>0.3194887721476517</v>
      </c>
      <c r="O28" s="2607">
        <v>4.2188101575547046E-2</v>
      </c>
      <c r="P28" s="2608">
        <v>10</v>
      </c>
      <c r="Q28" s="288"/>
      <c r="R28" s="556" t="s">
        <v>15</v>
      </c>
      <c r="S28" s="2610">
        <f>'H Equa'!I25</f>
        <v>0</v>
      </c>
      <c r="T28" s="2610">
        <f>'H Equa'!I26</f>
        <v>0</v>
      </c>
      <c r="U28" s="2610">
        <f>'H Equa'!I27</f>
        <v>2</v>
      </c>
      <c r="V28" s="2610">
        <f>'H Equa'!I28</f>
        <v>2</v>
      </c>
      <c r="W28" s="2610">
        <f>'H Equa'!I29</f>
        <v>0</v>
      </c>
      <c r="X28" s="2610">
        <f>'H Equa'!I30</f>
        <v>0</v>
      </c>
      <c r="Y28" s="2610">
        <f>'H Equa'!I31</f>
        <v>0</v>
      </c>
      <c r="Z28" s="2611">
        <f>'H Equa'!I33</f>
        <v>10</v>
      </c>
      <c r="AA28" s="472"/>
      <c r="AB28" s="556" t="s">
        <v>15</v>
      </c>
      <c r="AC28" s="2612">
        <f>'H Equa'!I6</f>
        <v>1.4299549154031865E-2</v>
      </c>
      <c r="AD28" s="557">
        <f>'H Equa'!I7</f>
        <v>1.0857668302226169</v>
      </c>
      <c r="AE28" s="2570">
        <v>10</v>
      </c>
      <c r="AF28" s="301"/>
      <c r="AG28" s="560"/>
      <c r="AH28" s="2619">
        <v>10</v>
      </c>
      <c r="AI28" s="2620" t="s">
        <v>16</v>
      </c>
      <c r="AJ28" s="2621">
        <v>36</v>
      </c>
      <c r="AK28" s="2622">
        <f t="shared" si="2"/>
        <v>7.2</v>
      </c>
      <c r="AL28" s="560"/>
      <c r="AM28" s="560"/>
      <c r="AN28" s="281"/>
      <c r="AO28" s="1704"/>
      <c r="AP28" s="1704"/>
      <c r="AQ28" s="1704"/>
      <c r="AR28" s="1704"/>
      <c r="AS28" s="1704"/>
      <c r="AT28" s="1704"/>
      <c r="AU28" s="1704"/>
      <c r="AV28" s="1704"/>
      <c r="AW28" s="1704"/>
      <c r="AX28" s="1704"/>
      <c r="AY28" s="1704"/>
      <c r="AZ28" s="1704"/>
      <c r="BA28" s="1704"/>
      <c r="BB28" s="281"/>
      <c r="BC28" s="281"/>
      <c r="BD28" s="281"/>
      <c r="BE28" s="281"/>
      <c r="BF28" s="281"/>
      <c r="BG28" s="281"/>
      <c r="BH28" s="281"/>
      <c r="BI28" s="281"/>
      <c r="BJ28" s="281"/>
      <c r="BK28" s="281"/>
      <c r="BL28" s="281"/>
      <c r="BM28" s="281"/>
      <c r="BN28" s="281"/>
      <c r="BO28" s="281"/>
      <c r="BP28" s="281"/>
      <c r="BQ28" s="281"/>
      <c r="BR28" s="281"/>
      <c r="BS28" s="281"/>
      <c r="BT28" s="281"/>
      <c r="BU28" s="281"/>
      <c r="BV28" s="281"/>
      <c r="BW28" s="281"/>
      <c r="BX28" s="281"/>
      <c r="BY28" s="281"/>
      <c r="BZ28" s="281"/>
      <c r="CA28" s="281"/>
      <c r="CB28" s="281"/>
      <c r="CC28" s="281"/>
      <c r="CD28" s="281"/>
      <c r="CE28" s="281"/>
      <c r="CF28" s="281"/>
      <c r="CG28" s="281"/>
      <c r="CH28" s="281"/>
      <c r="CI28" s="281"/>
      <c r="CJ28" s="281"/>
      <c r="CK28" s="281"/>
      <c r="CL28" s="281"/>
      <c r="CM28" s="281"/>
      <c r="CN28" s="281"/>
      <c r="CO28" s="281"/>
      <c r="CP28" s="281"/>
      <c r="CQ28" s="281"/>
      <c r="CR28" s="281"/>
      <c r="CS28" s="281"/>
      <c r="CT28" s="281"/>
      <c r="CU28" s="281"/>
      <c r="CV28" s="281"/>
      <c r="CW28" s="281"/>
      <c r="CX28" s="281"/>
      <c r="CY28" s="281"/>
      <c r="CZ28" s="281"/>
      <c r="DA28" s="281"/>
      <c r="DB28" s="281"/>
      <c r="DC28" s="281"/>
      <c r="DD28" s="281"/>
      <c r="DE28" s="281"/>
      <c r="DF28" s="281"/>
      <c r="DG28" s="281"/>
      <c r="DH28" s="281"/>
      <c r="DI28" s="281"/>
      <c r="DJ28" s="281"/>
      <c r="DK28" s="281"/>
      <c r="DL28" s="281"/>
      <c r="DM28" s="281"/>
      <c r="DN28" s="281"/>
      <c r="DO28" s="281"/>
      <c r="DP28" s="281"/>
      <c r="DQ28" s="281"/>
      <c r="DR28" s="281"/>
      <c r="DS28" s="281"/>
      <c r="DT28" s="281"/>
      <c r="DU28" s="281"/>
      <c r="DV28" s="281"/>
      <c r="DW28" s="281"/>
      <c r="DX28" s="281"/>
      <c r="DY28" s="281"/>
      <c r="DZ28" s="281"/>
      <c r="EA28" s="281"/>
      <c r="EB28" s="281"/>
      <c r="EC28" s="281"/>
      <c r="ED28" s="281"/>
      <c r="EE28" s="281"/>
      <c r="EF28" s="281"/>
      <c r="EG28" s="281"/>
      <c r="EH28" s="281"/>
      <c r="EI28" s="281"/>
      <c r="EJ28" s="281"/>
      <c r="EK28" s="281"/>
      <c r="EL28" s="281"/>
      <c r="EM28" s="281"/>
      <c r="EN28" s="281"/>
      <c r="EO28" s="281"/>
      <c r="EP28" s="281"/>
      <c r="EQ28" s="281"/>
      <c r="ER28" s="281"/>
      <c r="ES28" s="281"/>
      <c r="ET28" s="281"/>
      <c r="EU28" s="281"/>
      <c r="EV28" s="281"/>
      <c r="EW28" s="281"/>
      <c r="EX28" s="281"/>
      <c r="EY28" s="281"/>
      <c r="EZ28" s="281"/>
      <c r="FA28" s="281"/>
      <c r="FB28" s="281"/>
      <c r="FC28" s="281"/>
      <c r="FD28" s="281"/>
      <c r="FE28" s="281"/>
      <c r="FF28" s="281"/>
      <c r="FG28" s="281"/>
      <c r="FH28" s="281"/>
      <c r="FI28" s="281"/>
      <c r="FJ28" s="281"/>
      <c r="FK28" s="281"/>
      <c r="FL28" s="281"/>
      <c r="FM28" s="281"/>
      <c r="FN28" s="281"/>
      <c r="FO28" s="281"/>
      <c r="FP28" s="281"/>
      <c r="FQ28" s="281"/>
      <c r="FR28" s="281"/>
      <c r="FS28" s="281"/>
      <c r="FT28" s="281"/>
      <c r="FU28" s="281"/>
      <c r="FV28" s="281"/>
      <c r="FW28" s="281"/>
      <c r="FX28" s="281"/>
      <c r="FY28" s="281"/>
      <c r="FZ28" s="281"/>
      <c r="GA28" s="281"/>
      <c r="GB28" s="281"/>
      <c r="GC28" s="281"/>
      <c r="GD28" s="281"/>
      <c r="GE28" s="281"/>
      <c r="GF28" s="281"/>
      <c r="GG28" s="281"/>
      <c r="GH28" s="281"/>
      <c r="GI28" s="281"/>
      <c r="GJ28" s="281"/>
      <c r="GK28" s="281"/>
      <c r="GL28" s="281"/>
      <c r="GM28" s="281"/>
      <c r="GN28" s="281"/>
      <c r="GO28" s="281"/>
      <c r="GP28" s="281"/>
      <c r="GQ28" s="281"/>
      <c r="GR28" s="281"/>
      <c r="GS28" s="281"/>
      <c r="GT28" s="281"/>
      <c r="GU28" s="281"/>
      <c r="GV28" s="281"/>
      <c r="GW28" s="281"/>
      <c r="GX28" s="281"/>
      <c r="GY28" s="281"/>
      <c r="GZ28" s="281"/>
      <c r="HA28" s="281"/>
      <c r="HB28" s="281"/>
      <c r="HC28" s="281"/>
      <c r="HD28" s="281"/>
      <c r="HE28" s="281"/>
      <c r="HF28" s="281"/>
      <c r="HG28" s="281"/>
      <c r="HH28" s="281"/>
      <c r="HI28" s="281"/>
      <c r="HJ28" s="281"/>
      <c r="HK28" s="281"/>
      <c r="HL28" s="281"/>
      <c r="HM28" s="281"/>
      <c r="HN28" s="281"/>
      <c r="HO28" s="281"/>
      <c r="HP28" s="281"/>
      <c r="HQ28" s="281"/>
      <c r="HR28" s="281"/>
      <c r="HS28" s="281"/>
      <c r="HT28" s="281"/>
      <c r="HU28" s="281"/>
      <c r="HV28" s="281"/>
      <c r="HW28" s="281"/>
      <c r="HX28" s="281"/>
      <c r="HY28" s="281"/>
      <c r="HZ28" s="281"/>
      <c r="IA28" s="281"/>
      <c r="IB28" s="281"/>
      <c r="IC28" s="281"/>
      <c r="ID28" s="281"/>
      <c r="IE28" s="281"/>
      <c r="IF28" s="281"/>
      <c r="IG28" s="281"/>
      <c r="IH28" s="281"/>
      <c r="II28" s="281"/>
      <c r="IJ28" s="281"/>
      <c r="IK28" s="281"/>
      <c r="IL28" s="281"/>
      <c r="IM28" s="281"/>
      <c r="IN28" s="281"/>
      <c r="IO28" s="281"/>
      <c r="IP28" s="282"/>
    </row>
    <row r="29" spans="1:250" ht="8" customHeight="1" x14ac:dyDescent="0.15">
      <c r="A29" s="283"/>
      <c r="B29" s="281"/>
      <c r="C29" s="485"/>
      <c r="D29" s="485"/>
      <c r="E29" s="485"/>
      <c r="F29" s="485"/>
      <c r="G29" s="281"/>
      <c r="H29" s="485"/>
      <c r="I29" s="485"/>
      <c r="J29" s="485"/>
      <c r="K29" s="485"/>
      <c r="L29" s="281"/>
      <c r="M29" s="485"/>
      <c r="N29" s="485"/>
      <c r="O29" s="485"/>
      <c r="P29" s="485"/>
      <c r="Q29" s="281"/>
      <c r="R29" s="485"/>
      <c r="S29" s="485"/>
      <c r="T29" s="485"/>
      <c r="U29" s="485"/>
      <c r="V29" s="485"/>
      <c r="W29" s="485"/>
      <c r="X29" s="485"/>
      <c r="Y29" s="485"/>
      <c r="Z29" s="485"/>
      <c r="AA29" s="281"/>
      <c r="AB29" s="485"/>
      <c r="AC29" s="485"/>
      <c r="AD29" s="485"/>
      <c r="AE29" s="485"/>
      <c r="AF29" s="281"/>
      <c r="AG29" s="281"/>
      <c r="AH29" s="281"/>
      <c r="AI29" s="489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  <c r="AT29" s="281"/>
      <c r="AU29" s="281"/>
      <c r="AV29" s="281"/>
      <c r="AW29" s="40"/>
      <c r="AX29" s="40"/>
      <c r="AY29" s="281"/>
      <c r="AZ29" s="281"/>
      <c r="BA29" s="281"/>
      <c r="BB29" s="281"/>
      <c r="BC29" s="281"/>
      <c r="BD29" s="281"/>
      <c r="BE29" s="281"/>
      <c r="BF29" s="281"/>
      <c r="BG29" s="281"/>
      <c r="BH29" s="281"/>
      <c r="BI29" s="281"/>
      <c r="BJ29" s="281"/>
      <c r="BK29" s="281"/>
      <c r="BL29" s="281"/>
      <c r="BM29" s="281"/>
      <c r="BN29" s="281"/>
      <c r="BO29" s="281"/>
      <c r="BP29" s="281"/>
      <c r="BQ29" s="281"/>
      <c r="BR29" s="281"/>
      <c r="BS29" s="281"/>
      <c r="BT29" s="281"/>
      <c r="BU29" s="281"/>
      <c r="BV29" s="281"/>
      <c r="BW29" s="281"/>
      <c r="BX29" s="281"/>
      <c r="BY29" s="281"/>
      <c r="BZ29" s="281"/>
      <c r="CA29" s="281"/>
      <c r="CB29" s="281"/>
      <c r="CC29" s="281"/>
      <c r="CD29" s="281"/>
      <c r="CE29" s="281"/>
      <c r="CF29" s="281"/>
      <c r="CG29" s="281"/>
      <c r="CH29" s="281"/>
      <c r="CI29" s="281"/>
      <c r="CJ29" s="281"/>
      <c r="CK29" s="281"/>
      <c r="CL29" s="281"/>
      <c r="CM29" s="281"/>
      <c r="CN29" s="281"/>
      <c r="CO29" s="281"/>
      <c r="CP29" s="281"/>
      <c r="CQ29" s="281"/>
      <c r="CR29" s="281"/>
      <c r="CS29" s="281"/>
      <c r="CT29" s="281"/>
      <c r="CU29" s="281"/>
      <c r="CV29" s="281"/>
      <c r="CW29" s="281"/>
      <c r="CX29" s="281"/>
      <c r="CY29" s="281"/>
      <c r="CZ29" s="281"/>
      <c r="DA29" s="281"/>
      <c r="DB29" s="281"/>
      <c r="DC29" s="281"/>
      <c r="DD29" s="281"/>
      <c r="DE29" s="281"/>
      <c r="DF29" s="281"/>
      <c r="DG29" s="281"/>
      <c r="DH29" s="281"/>
      <c r="DI29" s="281"/>
      <c r="DJ29" s="281"/>
      <c r="DK29" s="281"/>
      <c r="DL29" s="281"/>
      <c r="DM29" s="281"/>
      <c r="DN29" s="281"/>
      <c r="DO29" s="281"/>
      <c r="DP29" s="281"/>
      <c r="DQ29" s="281"/>
      <c r="DR29" s="281"/>
      <c r="DS29" s="281"/>
      <c r="DT29" s="281"/>
      <c r="DU29" s="281"/>
      <c r="DV29" s="281"/>
      <c r="DW29" s="281"/>
      <c r="DX29" s="281"/>
      <c r="DY29" s="281"/>
      <c r="DZ29" s="281"/>
      <c r="EA29" s="281"/>
      <c r="EB29" s="281"/>
      <c r="EC29" s="281"/>
      <c r="ED29" s="281"/>
      <c r="EE29" s="281"/>
      <c r="EF29" s="281"/>
      <c r="EG29" s="281"/>
      <c r="EH29" s="281"/>
      <c r="EI29" s="281"/>
      <c r="EJ29" s="281"/>
      <c r="EK29" s="281"/>
      <c r="EL29" s="281"/>
      <c r="EM29" s="281"/>
      <c r="EN29" s="281"/>
      <c r="EO29" s="281"/>
      <c r="EP29" s="281"/>
      <c r="EQ29" s="281"/>
      <c r="ER29" s="281"/>
      <c r="ES29" s="281"/>
      <c r="ET29" s="281"/>
      <c r="EU29" s="281"/>
      <c r="EV29" s="281"/>
      <c r="EW29" s="281"/>
      <c r="EX29" s="281"/>
      <c r="EY29" s="281"/>
      <c r="EZ29" s="281"/>
      <c r="FA29" s="281"/>
      <c r="FB29" s="281"/>
      <c r="FC29" s="281"/>
      <c r="FD29" s="281"/>
      <c r="FE29" s="281"/>
      <c r="FF29" s="281"/>
      <c r="FG29" s="281"/>
      <c r="FH29" s="281"/>
      <c r="FI29" s="281"/>
      <c r="FJ29" s="281"/>
      <c r="FK29" s="281"/>
      <c r="FL29" s="281"/>
      <c r="FM29" s="281"/>
      <c r="FN29" s="281"/>
      <c r="FO29" s="281"/>
      <c r="FP29" s="281"/>
      <c r="FQ29" s="281"/>
      <c r="FR29" s="281"/>
      <c r="FS29" s="281"/>
      <c r="FT29" s="281"/>
      <c r="FU29" s="281"/>
      <c r="FV29" s="281"/>
      <c r="FW29" s="281"/>
      <c r="FX29" s="281"/>
      <c r="FY29" s="281"/>
      <c r="FZ29" s="281"/>
      <c r="GA29" s="281"/>
      <c r="GB29" s="281"/>
      <c r="GC29" s="281"/>
      <c r="GD29" s="281"/>
      <c r="GE29" s="281"/>
      <c r="GF29" s="281"/>
      <c r="GG29" s="281"/>
      <c r="GH29" s="281"/>
      <c r="GI29" s="281"/>
      <c r="GJ29" s="281"/>
      <c r="GK29" s="281"/>
      <c r="GL29" s="281"/>
      <c r="GM29" s="281"/>
      <c r="GN29" s="281"/>
      <c r="GO29" s="281"/>
      <c r="GP29" s="281"/>
      <c r="GQ29" s="281"/>
      <c r="GR29" s="281"/>
      <c r="GS29" s="281"/>
      <c r="GT29" s="281"/>
      <c r="GU29" s="281"/>
      <c r="GV29" s="281"/>
      <c r="GW29" s="281"/>
      <c r="GX29" s="281"/>
      <c r="GY29" s="281"/>
      <c r="GZ29" s="281"/>
      <c r="HA29" s="281"/>
      <c r="HB29" s="281"/>
      <c r="HC29" s="281"/>
      <c r="HD29" s="281"/>
      <c r="HE29" s="281"/>
      <c r="HF29" s="281"/>
      <c r="HG29" s="281"/>
      <c r="HH29" s="281"/>
      <c r="HI29" s="281"/>
      <c r="HJ29" s="281"/>
      <c r="HK29" s="281"/>
      <c r="HL29" s="281"/>
      <c r="HM29" s="281"/>
      <c r="HN29" s="281"/>
      <c r="HO29" s="281"/>
      <c r="HP29" s="281"/>
      <c r="HQ29" s="281"/>
      <c r="HR29" s="281"/>
      <c r="HS29" s="281"/>
      <c r="HT29" s="281"/>
      <c r="HU29" s="281"/>
      <c r="HV29" s="281"/>
      <c r="HW29" s="281"/>
      <c r="HX29" s="281"/>
      <c r="HY29" s="281"/>
      <c r="HZ29" s="281"/>
      <c r="IA29" s="281"/>
      <c r="IB29" s="281"/>
      <c r="IC29" s="281"/>
      <c r="ID29" s="281"/>
      <c r="IE29" s="281"/>
      <c r="IF29" s="281"/>
      <c r="IG29" s="281"/>
      <c r="IH29" s="281"/>
      <c r="II29" s="281"/>
      <c r="IJ29" s="281"/>
      <c r="IK29" s="281"/>
      <c r="IL29" s="281"/>
      <c r="IM29" s="281"/>
      <c r="IN29" s="281"/>
      <c r="IO29" s="281"/>
      <c r="IP29" s="282"/>
    </row>
    <row r="30" spans="1:250" ht="8" customHeight="1" x14ac:dyDescent="0.15">
      <c r="A30" s="283"/>
      <c r="B30" s="281"/>
      <c r="C30" s="2810" t="s">
        <v>478</v>
      </c>
      <c r="D30" s="2811"/>
      <c r="E30" s="2811"/>
      <c r="F30" s="2811"/>
      <c r="G30" s="561"/>
      <c r="H30" s="2810" t="s">
        <v>405</v>
      </c>
      <c r="I30" s="2811"/>
      <c r="J30" s="2811"/>
      <c r="K30" s="2811"/>
      <c r="L30" s="561"/>
      <c r="M30" s="2810" t="s">
        <v>142</v>
      </c>
      <c r="N30" s="2811"/>
      <c r="O30" s="2811"/>
      <c r="P30" s="2811"/>
      <c r="Q30" s="561"/>
      <c r="R30" s="2810" t="s">
        <v>157</v>
      </c>
      <c r="S30" s="2811"/>
      <c r="T30" s="2811"/>
      <c r="U30" s="2811"/>
      <c r="V30" s="2811"/>
      <c r="W30" s="2811"/>
      <c r="X30" s="2811"/>
      <c r="Y30" s="2811"/>
      <c r="Z30" s="2811"/>
      <c r="AA30" s="561"/>
      <c r="AB30" s="2810" t="s">
        <v>142</v>
      </c>
      <c r="AC30" s="2811"/>
      <c r="AD30" s="2811"/>
      <c r="AE30" s="2811"/>
      <c r="AF30" s="561"/>
      <c r="AG30" s="281"/>
      <c r="AH30" s="281"/>
      <c r="AI30" s="489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  <c r="BJ30" s="281"/>
      <c r="BK30" s="281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/>
      <c r="BZ30" s="281"/>
      <c r="CA30" s="281"/>
      <c r="CB30" s="281"/>
      <c r="CC30" s="281"/>
      <c r="CD30" s="281"/>
      <c r="CE30" s="281"/>
      <c r="CF30" s="281"/>
      <c r="CG30" s="281"/>
      <c r="CH30" s="281"/>
      <c r="CI30" s="281"/>
      <c r="CJ30" s="281"/>
      <c r="CK30" s="281"/>
      <c r="CL30" s="281"/>
      <c r="CM30" s="281"/>
      <c r="CN30" s="281"/>
      <c r="CO30" s="281"/>
      <c r="CP30" s="281"/>
      <c r="CQ30" s="281"/>
      <c r="CR30" s="281"/>
      <c r="CS30" s="281"/>
      <c r="CT30" s="281"/>
      <c r="CU30" s="281"/>
      <c r="CV30" s="281"/>
      <c r="CW30" s="281"/>
      <c r="CX30" s="281"/>
      <c r="CY30" s="281"/>
      <c r="CZ30" s="281"/>
      <c r="DA30" s="281"/>
      <c r="DB30" s="281"/>
      <c r="DC30" s="281"/>
      <c r="DD30" s="281"/>
      <c r="DE30" s="281"/>
      <c r="DF30" s="281"/>
      <c r="DG30" s="281"/>
      <c r="DH30" s="281"/>
      <c r="DI30" s="281"/>
      <c r="DJ30" s="281"/>
      <c r="DK30" s="281"/>
      <c r="DL30" s="281"/>
      <c r="DM30" s="281"/>
      <c r="DN30" s="281"/>
      <c r="DO30" s="281"/>
      <c r="DP30" s="281"/>
      <c r="DQ30" s="281"/>
      <c r="DR30" s="281"/>
      <c r="DS30" s="281"/>
      <c r="DT30" s="281"/>
      <c r="DU30" s="281"/>
      <c r="DV30" s="281"/>
      <c r="DW30" s="281"/>
      <c r="DX30" s="281"/>
      <c r="DY30" s="281"/>
      <c r="DZ30" s="281"/>
      <c r="EA30" s="281"/>
      <c r="EB30" s="281"/>
      <c r="EC30" s="281"/>
      <c r="ED30" s="281"/>
      <c r="EE30" s="281"/>
      <c r="EF30" s="281"/>
      <c r="EG30" s="281"/>
      <c r="EH30" s="281"/>
      <c r="EI30" s="281"/>
      <c r="EJ30" s="281"/>
      <c r="EK30" s="281"/>
      <c r="EL30" s="281"/>
      <c r="EM30" s="281"/>
      <c r="EN30" s="281"/>
      <c r="EO30" s="281"/>
      <c r="EP30" s="281"/>
      <c r="EQ30" s="281"/>
      <c r="ER30" s="281"/>
      <c r="ES30" s="281"/>
      <c r="ET30" s="281"/>
      <c r="EU30" s="281"/>
      <c r="EV30" s="281"/>
      <c r="EW30" s="281"/>
      <c r="EX30" s="281"/>
      <c r="EY30" s="281"/>
      <c r="EZ30" s="281"/>
      <c r="FA30" s="281"/>
      <c r="FB30" s="281"/>
      <c r="FC30" s="281"/>
      <c r="FD30" s="281"/>
      <c r="FE30" s="281"/>
      <c r="FF30" s="281"/>
      <c r="FG30" s="281"/>
      <c r="FH30" s="281"/>
      <c r="FI30" s="281"/>
      <c r="FJ30" s="281"/>
      <c r="FK30" s="281"/>
      <c r="FL30" s="281"/>
      <c r="FM30" s="281"/>
      <c r="FN30" s="281"/>
      <c r="FO30" s="281"/>
      <c r="FP30" s="281"/>
      <c r="FQ30" s="281"/>
      <c r="FR30" s="281"/>
      <c r="FS30" s="281"/>
      <c r="FT30" s="281"/>
      <c r="FU30" s="281"/>
      <c r="FV30" s="281"/>
      <c r="FW30" s="281"/>
      <c r="FX30" s="281"/>
      <c r="FY30" s="281"/>
      <c r="FZ30" s="281"/>
      <c r="GA30" s="281"/>
      <c r="GB30" s="281"/>
      <c r="GC30" s="281"/>
      <c r="GD30" s="281"/>
      <c r="GE30" s="281"/>
      <c r="GF30" s="281"/>
      <c r="GG30" s="281"/>
      <c r="GH30" s="281"/>
      <c r="GI30" s="281"/>
      <c r="GJ30" s="281"/>
      <c r="GK30" s="281"/>
      <c r="GL30" s="281"/>
      <c r="GM30" s="281"/>
      <c r="GN30" s="281"/>
      <c r="GO30" s="281"/>
      <c r="GP30" s="281"/>
      <c r="GQ30" s="281"/>
      <c r="GR30" s="281"/>
      <c r="GS30" s="281"/>
      <c r="GT30" s="281"/>
      <c r="GU30" s="281"/>
      <c r="GV30" s="281"/>
      <c r="GW30" s="281"/>
      <c r="GX30" s="281"/>
      <c r="GY30" s="281"/>
      <c r="GZ30" s="281"/>
      <c r="HA30" s="281"/>
      <c r="HB30" s="281"/>
      <c r="HC30" s="281"/>
      <c r="HD30" s="281"/>
      <c r="HE30" s="281"/>
      <c r="HF30" s="281"/>
      <c r="HG30" s="281"/>
      <c r="HH30" s="281"/>
      <c r="HI30" s="281"/>
      <c r="HJ30" s="281"/>
      <c r="HK30" s="281"/>
      <c r="HL30" s="281"/>
      <c r="HM30" s="281"/>
      <c r="HN30" s="281"/>
      <c r="HO30" s="281"/>
      <c r="HP30" s="281"/>
      <c r="HQ30" s="281"/>
      <c r="HR30" s="281"/>
      <c r="HS30" s="281"/>
      <c r="HT30" s="281"/>
      <c r="HU30" s="281"/>
      <c r="HV30" s="281"/>
      <c r="HW30" s="281"/>
      <c r="HX30" s="281"/>
      <c r="HY30" s="281"/>
      <c r="HZ30" s="281"/>
      <c r="IA30" s="281"/>
      <c r="IB30" s="281"/>
      <c r="IC30" s="281"/>
      <c r="ID30" s="281"/>
      <c r="IE30" s="281"/>
      <c r="IF30" s="281"/>
      <c r="IG30" s="281"/>
      <c r="IH30" s="281"/>
      <c r="II30" s="281"/>
      <c r="IJ30" s="281"/>
      <c r="IK30" s="281"/>
      <c r="IL30" s="281"/>
      <c r="IM30" s="281"/>
      <c r="IN30" s="281"/>
      <c r="IO30" s="281"/>
      <c r="IP30" s="282"/>
    </row>
    <row r="31" spans="1:250" ht="13" customHeight="1" x14ac:dyDescent="0.15">
      <c r="A31" s="562" t="s">
        <v>163</v>
      </c>
      <c r="B31" s="279"/>
      <c r="C31" s="2822" t="s">
        <v>479</v>
      </c>
      <c r="D31" s="2784"/>
      <c r="E31" s="2784"/>
      <c r="F31" s="2784"/>
      <c r="G31" s="281"/>
      <c r="H31" s="281"/>
      <c r="I31" s="281"/>
      <c r="J31" s="281"/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489"/>
      <c r="AJ31" s="281"/>
      <c r="AK31" s="281"/>
      <c r="AL31" s="281"/>
      <c r="AM31" s="281"/>
      <c r="AN31" s="2812" t="s">
        <v>482</v>
      </c>
      <c r="AO31" s="2813"/>
      <c r="AP31" s="2813"/>
      <c r="AQ31" s="2813"/>
      <c r="AR31" s="2813"/>
      <c r="AS31" s="2813"/>
      <c r="AT31" s="2813"/>
      <c r="AU31" s="281"/>
      <c r="AV31" s="281"/>
      <c r="AW31" s="281"/>
      <c r="AX31" s="281"/>
      <c r="AY31" s="281"/>
      <c r="AZ31" s="281"/>
      <c r="BA31" s="281"/>
      <c r="BB31" s="281"/>
      <c r="BC31" s="281"/>
      <c r="BD31" s="281"/>
      <c r="BE31" s="281"/>
      <c r="BF31" s="281"/>
      <c r="BG31" s="281"/>
      <c r="BH31" s="281"/>
      <c r="BI31" s="281"/>
      <c r="BJ31" s="281"/>
      <c r="BK31" s="281"/>
      <c r="BL31" s="281"/>
      <c r="BM31" s="281"/>
      <c r="BN31" s="281"/>
      <c r="BO31" s="281"/>
      <c r="BP31" s="281"/>
      <c r="BQ31" s="281"/>
      <c r="BR31" s="281"/>
      <c r="BS31" s="281"/>
      <c r="BT31" s="281"/>
      <c r="BU31" s="281"/>
      <c r="BV31" s="281"/>
      <c r="BW31" s="281"/>
      <c r="BX31" s="281"/>
      <c r="BY31" s="281"/>
      <c r="BZ31" s="281"/>
      <c r="CA31" s="281"/>
      <c r="CB31" s="281"/>
      <c r="CC31" s="281"/>
      <c r="CD31" s="281"/>
      <c r="CE31" s="281"/>
      <c r="CF31" s="281"/>
      <c r="CG31" s="281"/>
      <c r="CH31" s="281"/>
      <c r="CI31" s="281"/>
      <c r="CJ31" s="281"/>
      <c r="CK31" s="281"/>
      <c r="CL31" s="281"/>
      <c r="CM31" s="281"/>
      <c r="CN31" s="281"/>
      <c r="CO31" s="281"/>
      <c r="CP31" s="281"/>
      <c r="CQ31" s="281"/>
      <c r="CR31" s="281"/>
      <c r="CS31" s="281"/>
      <c r="CT31" s="281"/>
      <c r="CU31" s="281"/>
      <c r="CV31" s="281"/>
      <c r="CW31" s="281"/>
      <c r="CX31" s="281"/>
      <c r="CY31" s="281"/>
      <c r="CZ31" s="281"/>
      <c r="DA31" s="281"/>
      <c r="DB31" s="281"/>
      <c r="DC31" s="281"/>
      <c r="DD31" s="281"/>
      <c r="DE31" s="281"/>
      <c r="DF31" s="281"/>
      <c r="DG31" s="281"/>
      <c r="DH31" s="281"/>
      <c r="DI31" s="281"/>
      <c r="DJ31" s="281"/>
      <c r="DK31" s="281"/>
      <c r="DL31" s="281"/>
      <c r="DM31" s="281"/>
      <c r="DN31" s="281"/>
      <c r="DO31" s="281"/>
      <c r="DP31" s="281"/>
      <c r="DQ31" s="281"/>
      <c r="DR31" s="281"/>
      <c r="DS31" s="281"/>
      <c r="DT31" s="281"/>
      <c r="DU31" s="281"/>
      <c r="DV31" s="281"/>
      <c r="DW31" s="281"/>
      <c r="DX31" s="281"/>
      <c r="DY31" s="281"/>
      <c r="DZ31" s="281"/>
      <c r="EA31" s="281"/>
      <c r="EB31" s="281"/>
      <c r="EC31" s="281"/>
      <c r="ED31" s="281"/>
      <c r="EE31" s="281"/>
      <c r="EF31" s="281"/>
      <c r="EG31" s="281"/>
      <c r="EH31" s="281"/>
      <c r="EI31" s="281"/>
      <c r="EJ31" s="281"/>
      <c r="EK31" s="281"/>
      <c r="EL31" s="281"/>
      <c r="EM31" s="281"/>
      <c r="EN31" s="281"/>
      <c r="EO31" s="281"/>
      <c r="EP31" s="281"/>
      <c r="EQ31" s="281"/>
      <c r="ER31" s="281"/>
      <c r="ES31" s="281"/>
      <c r="ET31" s="281"/>
      <c r="EU31" s="281"/>
      <c r="EV31" s="281"/>
      <c r="EW31" s="281"/>
      <c r="EX31" s="281"/>
      <c r="EY31" s="281"/>
      <c r="EZ31" s="281"/>
      <c r="FA31" s="281"/>
      <c r="FB31" s="281"/>
      <c r="FC31" s="281"/>
      <c r="FD31" s="281"/>
      <c r="FE31" s="281"/>
      <c r="FF31" s="281"/>
      <c r="FG31" s="281"/>
      <c r="FH31" s="281"/>
      <c r="FI31" s="281"/>
      <c r="FJ31" s="281"/>
      <c r="FK31" s="281"/>
      <c r="FL31" s="281"/>
      <c r="FM31" s="281"/>
      <c r="FN31" s="281"/>
      <c r="FO31" s="281"/>
      <c r="FP31" s="281"/>
      <c r="FQ31" s="281"/>
      <c r="FR31" s="281"/>
      <c r="FS31" s="281"/>
      <c r="FT31" s="281"/>
      <c r="FU31" s="281"/>
      <c r="FV31" s="281"/>
      <c r="FW31" s="281"/>
      <c r="FX31" s="281"/>
      <c r="FY31" s="281"/>
      <c r="FZ31" s="281"/>
      <c r="GA31" s="281"/>
      <c r="GB31" s="281"/>
      <c r="GC31" s="281"/>
      <c r="GD31" s="281"/>
      <c r="GE31" s="281"/>
      <c r="GF31" s="281"/>
      <c r="GG31" s="281"/>
      <c r="GH31" s="281"/>
      <c r="GI31" s="281"/>
      <c r="GJ31" s="281"/>
      <c r="GK31" s="281"/>
      <c r="GL31" s="281"/>
      <c r="GM31" s="281"/>
      <c r="GN31" s="281"/>
      <c r="GO31" s="281"/>
      <c r="GP31" s="281"/>
      <c r="GQ31" s="281"/>
      <c r="GR31" s="281"/>
      <c r="GS31" s="281"/>
      <c r="GT31" s="281"/>
      <c r="GU31" s="281"/>
      <c r="GV31" s="281"/>
      <c r="GW31" s="281"/>
      <c r="GX31" s="281"/>
      <c r="GY31" s="281"/>
      <c r="GZ31" s="281"/>
      <c r="HA31" s="281"/>
      <c r="HB31" s="281"/>
      <c r="HC31" s="281"/>
      <c r="HD31" s="281"/>
      <c r="HE31" s="281"/>
      <c r="HF31" s="281"/>
      <c r="HG31" s="281"/>
      <c r="HH31" s="281"/>
      <c r="HI31" s="281"/>
      <c r="HJ31" s="281"/>
      <c r="HK31" s="281"/>
      <c r="HL31" s="281"/>
      <c r="HM31" s="281"/>
      <c r="HN31" s="281"/>
      <c r="HO31" s="281"/>
      <c r="HP31" s="281"/>
      <c r="HQ31" s="281"/>
      <c r="HR31" s="281"/>
      <c r="HS31" s="281"/>
      <c r="HT31" s="281"/>
      <c r="HU31" s="281"/>
      <c r="HV31" s="281"/>
      <c r="HW31" s="281"/>
      <c r="HX31" s="281"/>
      <c r="HY31" s="281"/>
      <c r="HZ31" s="281"/>
      <c r="IA31" s="281"/>
      <c r="IB31" s="281"/>
      <c r="IC31" s="281"/>
      <c r="ID31" s="281"/>
      <c r="IE31" s="281"/>
      <c r="IF31" s="281"/>
      <c r="IG31" s="281"/>
      <c r="IH31" s="281"/>
      <c r="II31" s="281"/>
      <c r="IJ31" s="281"/>
      <c r="IK31" s="281"/>
      <c r="IL31" s="281"/>
      <c r="IM31" s="281"/>
      <c r="IN31" s="281"/>
      <c r="IO31" s="281"/>
      <c r="IP31" s="282"/>
    </row>
    <row r="32" spans="1:250" ht="8" customHeight="1" x14ac:dyDescent="0.15">
      <c r="A32" s="563"/>
      <c r="B32" s="279"/>
      <c r="C32" s="280"/>
      <c r="D32" s="280"/>
      <c r="E32" s="280"/>
      <c r="F32" s="280"/>
      <c r="G32" s="281"/>
      <c r="H32" s="280"/>
      <c r="I32" s="280"/>
      <c r="J32" s="280"/>
      <c r="K32" s="280"/>
      <c r="L32" s="281"/>
      <c r="M32" s="280"/>
      <c r="N32" s="280"/>
      <c r="O32" s="280"/>
      <c r="P32" s="280"/>
      <c r="Q32" s="281"/>
      <c r="R32" s="280"/>
      <c r="S32" s="280"/>
      <c r="T32" s="280"/>
      <c r="U32" s="280"/>
      <c r="V32" s="280"/>
      <c r="W32" s="280"/>
      <c r="X32" s="280"/>
      <c r="Y32" s="280"/>
      <c r="Z32" s="280"/>
      <c r="AA32" s="281"/>
      <c r="AB32" s="280"/>
      <c r="AC32" s="280"/>
      <c r="AD32" s="280"/>
      <c r="AE32" s="280"/>
      <c r="AF32" s="281"/>
      <c r="AG32" s="281"/>
      <c r="AH32" s="281"/>
      <c r="AI32" s="489"/>
      <c r="AJ32" s="281"/>
      <c r="AK32" s="281"/>
      <c r="AL32" s="281"/>
      <c r="AM32" s="281"/>
      <c r="AN32" s="491"/>
      <c r="AO32" s="491"/>
      <c r="AP32" s="491"/>
      <c r="AQ32" s="491"/>
      <c r="AR32" s="491"/>
      <c r="AS32" s="491"/>
      <c r="AT32" s="491"/>
      <c r="AU32" s="281"/>
      <c r="AV32" s="280"/>
      <c r="AW32" s="280"/>
      <c r="AX32" s="280"/>
      <c r="AY32" s="280"/>
      <c r="AZ32" s="281"/>
      <c r="BA32" s="280"/>
      <c r="BB32" s="280"/>
      <c r="BC32" s="280"/>
      <c r="BD32" s="280"/>
      <c r="BE32" s="281"/>
      <c r="BF32" s="281"/>
      <c r="BG32" s="281"/>
      <c r="BH32" s="281"/>
      <c r="BI32" s="281"/>
      <c r="BJ32" s="281"/>
      <c r="BK32" s="281"/>
      <c r="BL32" s="281"/>
      <c r="BM32" s="281"/>
      <c r="BN32" s="281"/>
      <c r="BO32" s="281"/>
      <c r="BP32" s="281"/>
      <c r="BQ32" s="281"/>
      <c r="BR32" s="281"/>
      <c r="BS32" s="281"/>
      <c r="BT32" s="281"/>
      <c r="BU32" s="281"/>
      <c r="BV32" s="281"/>
      <c r="BW32" s="281"/>
      <c r="BX32" s="281"/>
      <c r="BY32" s="281"/>
      <c r="BZ32" s="281"/>
      <c r="CA32" s="281"/>
      <c r="CB32" s="281"/>
      <c r="CC32" s="281"/>
      <c r="CD32" s="281"/>
      <c r="CE32" s="281"/>
      <c r="CF32" s="281"/>
      <c r="CG32" s="281"/>
      <c r="CH32" s="281"/>
      <c r="CI32" s="281"/>
      <c r="CJ32" s="281"/>
      <c r="CK32" s="281"/>
      <c r="CL32" s="281"/>
      <c r="CM32" s="281"/>
      <c r="CN32" s="281"/>
      <c r="CO32" s="281"/>
      <c r="CP32" s="281"/>
      <c r="CQ32" s="281"/>
      <c r="CR32" s="281"/>
      <c r="CS32" s="281"/>
      <c r="CT32" s="281"/>
      <c r="CU32" s="281"/>
      <c r="CV32" s="281"/>
      <c r="CW32" s="281"/>
      <c r="CX32" s="281"/>
      <c r="CY32" s="281"/>
      <c r="CZ32" s="281"/>
      <c r="DA32" s="281"/>
      <c r="DB32" s="281"/>
      <c r="DC32" s="281"/>
      <c r="DD32" s="281"/>
      <c r="DE32" s="281"/>
      <c r="DF32" s="281"/>
      <c r="DG32" s="281"/>
      <c r="DH32" s="281"/>
      <c r="DI32" s="281"/>
      <c r="DJ32" s="281"/>
      <c r="DK32" s="281"/>
      <c r="DL32" s="281"/>
      <c r="DM32" s="281"/>
      <c r="DN32" s="281"/>
      <c r="DO32" s="281"/>
      <c r="DP32" s="281"/>
      <c r="DQ32" s="281"/>
      <c r="DR32" s="281"/>
      <c r="DS32" s="281"/>
      <c r="DT32" s="281"/>
      <c r="DU32" s="281"/>
      <c r="DV32" s="281"/>
      <c r="DW32" s="281"/>
      <c r="DX32" s="281"/>
      <c r="DY32" s="281"/>
      <c r="DZ32" s="281"/>
      <c r="EA32" s="281"/>
      <c r="EB32" s="281"/>
      <c r="EC32" s="281"/>
      <c r="ED32" s="281"/>
      <c r="EE32" s="281"/>
      <c r="EF32" s="281"/>
      <c r="EG32" s="281"/>
      <c r="EH32" s="281"/>
      <c r="EI32" s="281"/>
      <c r="EJ32" s="281"/>
      <c r="EK32" s="281"/>
      <c r="EL32" s="281"/>
      <c r="EM32" s="281"/>
      <c r="EN32" s="281"/>
      <c r="EO32" s="281"/>
      <c r="EP32" s="281"/>
      <c r="EQ32" s="281"/>
      <c r="ER32" s="281"/>
      <c r="ES32" s="281"/>
      <c r="ET32" s="281"/>
      <c r="EU32" s="281"/>
      <c r="EV32" s="281"/>
      <c r="EW32" s="281"/>
      <c r="EX32" s="281"/>
      <c r="EY32" s="281"/>
      <c r="EZ32" s="281"/>
      <c r="FA32" s="281"/>
      <c r="FB32" s="281"/>
      <c r="FC32" s="281"/>
      <c r="FD32" s="281"/>
      <c r="FE32" s="281"/>
      <c r="FF32" s="281"/>
      <c r="FG32" s="281"/>
      <c r="FH32" s="281"/>
      <c r="FI32" s="281"/>
      <c r="FJ32" s="281"/>
      <c r="FK32" s="281"/>
      <c r="FL32" s="281"/>
      <c r="FM32" s="281"/>
      <c r="FN32" s="281"/>
      <c r="FO32" s="281"/>
      <c r="FP32" s="281"/>
      <c r="FQ32" s="281"/>
      <c r="FR32" s="281"/>
      <c r="FS32" s="281"/>
      <c r="FT32" s="281"/>
      <c r="FU32" s="281"/>
      <c r="FV32" s="281"/>
      <c r="FW32" s="281"/>
      <c r="FX32" s="281"/>
      <c r="FY32" s="281"/>
      <c r="FZ32" s="281"/>
      <c r="GA32" s="281"/>
      <c r="GB32" s="281"/>
      <c r="GC32" s="281"/>
      <c r="GD32" s="281"/>
      <c r="GE32" s="281"/>
      <c r="GF32" s="281"/>
      <c r="GG32" s="281"/>
      <c r="GH32" s="281"/>
      <c r="GI32" s="281"/>
      <c r="GJ32" s="281"/>
      <c r="GK32" s="281"/>
      <c r="GL32" s="281"/>
      <c r="GM32" s="281"/>
      <c r="GN32" s="281"/>
      <c r="GO32" s="281"/>
      <c r="GP32" s="281"/>
      <c r="GQ32" s="281"/>
      <c r="GR32" s="281"/>
      <c r="GS32" s="281"/>
      <c r="GT32" s="281"/>
      <c r="GU32" s="281"/>
      <c r="GV32" s="281"/>
      <c r="GW32" s="281"/>
      <c r="GX32" s="281"/>
      <c r="GY32" s="281"/>
      <c r="GZ32" s="281"/>
      <c r="HA32" s="281"/>
      <c r="HB32" s="281"/>
      <c r="HC32" s="281"/>
      <c r="HD32" s="281"/>
      <c r="HE32" s="281"/>
      <c r="HF32" s="281"/>
      <c r="HG32" s="281"/>
      <c r="HH32" s="281"/>
      <c r="HI32" s="281"/>
      <c r="HJ32" s="281"/>
      <c r="HK32" s="281"/>
      <c r="HL32" s="281"/>
      <c r="HM32" s="281"/>
      <c r="HN32" s="281"/>
      <c r="HO32" s="281"/>
      <c r="HP32" s="281"/>
      <c r="HQ32" s="281"/>
      <c r="HR32" s="281"/>
      <c r="HS32" s="281"/>
      <c r="HT32" s="281"/>
      <c r="HU32" s="281"/>
      <c r="HV32" s="281"/>
      <c r="HW32" s="281"/>
      <c r="HX32" s="281"/>
      <c r="HY32" s="281"/>
      <c r="HZ32" s="281"/>
      <c r="IA32" s="281"/>
      <c r="IB32" s="281"/>
      <c r="IC32" s="281"/>
      <c r="ID32" s="281"/>
      <c r="IE32" s="281"/>
      <c r="IF32" s="281"/>
      <c r="IG32" s="281"/>
      <c r="IH32" s="281"/>
      <c r="II32" s="281"/>
      <c r="IJ32" s="281"/>
      <c r="IK32" s="281"/>
      <c r="IL32" s="281"/>
      <c r="IM32" s="281"/>
      <c r="IN32" s="281"/>
      <c r="IO32" s="281"/>
      <c r="IP32" s="282"/>
    </row>
    <row r="33" spans="1:250" ht="20" customHeight="1" x14ac:dyDescent="0.15">
      <c r="A33" s="494"/>
      <c r="B33" s="495"/>
      <c r="C33" s="285">
        <v>1</v>
      </c>
      <c r="D33" s="286" t="s">
        <v>164</v>
      </c>
      <c r="E33" s="286" t="s">
        <v>140</v>
      </c>
      <c r="F33" s="287" t="s">
        <v>40</v>
      </c>
      <c r="G33" s="174"/>
      <c r="H33" s="285">
        <v>2</v>
      </c>
      <c r="I33" s="286" t="s">
        <v>165</v>
      </c>
      <c r="J33" s="286" t="s">
        <v>140</v>
      </c>
      <c r="K33" s="287" t="s">
        <v>40</v>
      </c>
      <c r="L33" s="496"/>
      <c r="M33" s="564"/>
      <c r="N33" s="565" t="s">
        <v>166</v>
      </c>
      <c r="O33" s="566" t="s">
        <v>142</v>
      </c>
      <c r="P33" s="287" t="s">
        <v>40</v>
      </c>
      <c r="Q33" s="496"/>
      <c r="R33" s="285">
        <v>4</v>
      </c>
      <c r="S33" s="291" t="s">
        <v>143</v>
      </c>
      <c r="T33" s="292" t="s">
        <v>144</v>
      </c>
      <c r="U33" s="293" t="s">
        <v>58</v>
      </c>
      <c r="V33" s="292" t="s">
        <v>145</v>
      </c>
      <c r="W33" s="293" t="s">
        <v>146</v>
      </c>
      <c r="X33" s="292" t="s">
        <v>147</v>
      </c>
      <c r="Y33" s="294" t="s">
        <v>72</v>
      </c>
      <c r="Z33" s="287" t="s">
        <v>40</v>
      </c>
      <c r="AA33" s="496"/>
      <c r="AB33" s="285">
        <v>5</v>
      </c>
      <c r="AC33" s="286" t="s">
        <v>167</v>
      </c>
      <c r="AD33" s="290" t="s">
        <v>142</v>
      </c>
      <c r="AE33" s="287" t="s">
        <v>40</v>
      </c>
      <c r="AF33" s="1729"/>
      <c r="AG33" s="299"/>
      <c r="AH33" s="1741" t="s">
        <v>74</v>
      </c>
      <c r="AI33" s="1742" t="s">
        <v>41</v>
      </c>
      <c r="AJ33" s="1743" t="s">
        <v>148</v>
      </c>
      <c r="AK33" s="1769" t="s">
        <v>149</v>
      </c>
      <c r="AL33" s="299"/>
      <c r="AM33" s="568"/>
      <c r="AN33" s="297" t="s">
        <v>40</v>
      </c>
      <c r="AO33" s="569" t="s">
        <v>53</v>
      </c>
      <c r="AP33" s="286" t="s">
        <v>44</v>
      </c>
      <c r="AQ33" s="286" t="s">
        <v>42</v>
      </c>
      <c r="AR33" s="286" t="s">
        <v>40</v>
      </c>
      <c r="AS33" s="286" t="s">
        <v>38</v>
      </c>
      <c r="AT33" s="2094" t="s">
        <v>411</v>
      </c>
      <c r="AU33" s="570"/>
      <c r="AV33" s="571" t="s">
        <v>168</v>
      </c>
      <c r="AW33" s="290" t="s">
        <v>169</v>
      </c>
      <c r="AX33" s="290" t="s">
        <v>170</v>
      </c>
      <c r="AY33" s="567" t="s">
        <v>74</v>
      </c>
      <c r="AZ33" s="572"/>
      <c r="BA33" s="573" t="s">
        <v>171</v>
      </c>
      <c r="BB33" s="290" t="s">
        <v>172</v>
      </c>
      <c r="BC33" s="286" t="s">
        <v>40</v>
      </c>
      <c r="BD33" s="298" t="s">
        <v>74</v>
      </c>
      <c r="BE33" s="301"/>
      <c r="BF33" s="281"/>
      <c r="BG33" s="281"/>
      <c r="BH33" s="281"/>
      <c r="BI33" s="281"/>
      <c r="BJ33" s="281"/>
      <c r="BK33" s="281"/>
      <c r="BL33" s="281"/>
      <c r="BM33" s="281"/>
      <c r="BN33" s="281"/>
      <c r="BO33" s="281"/>
      <c r="BP33" s="281"/>
      <c r="BQ33" s="281"/>
      <c r="BR33" s="281"/>
      <c r="BS33" s="281"/>
      <c r="BT33" s="281"/>
      <c r="BU33" s="281"/>
      <c r="BV33" s="281"/>
      <c r="BW33" s="281"/>
      <c r="BX33" s="281"/>
      <c r="BY33" s="281"/>
      <c r="BZ33" s="281"/>
      <c r="CA33" s="281"/>
      <c r="CB33" s="281"/>
      <c r="CC33" s="281"/>
      <c r="CD33" s="281"/>
      <c r="CE33" s="281"/>
      <c r="CF33" s="281"/>
      <c r="CG33" s="281"/>
      <c r="CH33" s="281"/>
      <c r="CI33" s="281"/>
      <c r="CJ33" s="281"/>
      <c r="CK33" s="281"/>
      <c r="CL33" s="281"/>
      <c r="CM33" s="281"/>
      <c r="CN33" s="281"/>
      <c r="CO33" s="281"/>
      <c r="CP33" s="281"/>
      <c r="CQ33" s="281"/>
      <c r="CR33" s="281"/>
      <c r="CS33" s="281"/>
      <c r="CT33" s="281"/>
      <c r="CU33" s="281"/>
      <c r="CV33" s="281"/>
      <c r="CW33" s="281"/>
      <c r="CX33" s="281"/>
      <c r="CY33" s="281"/>
      <c r="CZ33" s="281"/>
      <c r="DA33" s="281"/>
      <c r="DB33" s="281"/>
      <c r="DC33" s="281"/>
      <c r="DD33" s="281"/>
      <c r="DE33" s="281"/>
      <c r="DF33" s="281"/>
      <c r="DG33" s="281"/>
      <c r="DH33" s="281"/>
      <c r="DI33" s="281"/>
      <c r="DJ33" s="281"/>
      <c r="DK33" s="281"/>
      <c r="DL33" s="281"/>
      <c r="DM33" s="281"/>
      <c r="DN33" s="281"/>
      <c r="DO33" s="281"/>
      <c r="DP33" s="281"/>
      <c r="DQ33" s="281"/>
      <c r="DR33" s="281"/>
      <c r="DS33" s="281"/>
      <c r="DT33" s="281"/>
      <c r="DU33" s="281"/>
      <c r="DV33" s="281"/>
      <c r="DW33" s="281"/>
      <c r="DX33" s="281"/>
      <c r="DY33" s="281"/>
      <c r="DZ33" s="281"/>
      <c r="EA33" s="281"/>
      <c r="EB33" s="281"/>
      <c r="EC33" s="281"/>
      <c r="ED33" s="281"/>
      <c r="EE33" s="281"/>
      <c r="EF33" s="281"/>
      <c r="EG33" s="281"/>
      <c r="EH33" s="281"/>
      <c r="EI33" s="281"/>
      <c r="EJ33" s="281"/>
      <c r="EK33" s="281"/>
      <c r="EL33" s="281"/>
      <c r="EM33" s="281"/>
      <c r="EN33" s="281"/>
      <c r="EO33" s="281"/>
      <c r="EP33" s="281"/>
      <c r="EQ33" s="281"/>
      <c r="ER33" s="281"/>
      <c r="ES33" s="281"/>
      <c r="ET33" s="281"/>
      <c r="EU33" s="281"/>
      <c r="EV33" s="281"/>
      <c r="EW33" s="281"/>
      <c r="EX33" s="281"/>
      <c r="EY33" s="281"/>
      <c r="EZ33" s="281"/>
      <c r="FA33" s="281"/>
      <c r="FB33" s="281"/>
      <c r="FC33" s="281"/>
      <c r="FD33" s="281"/>
      <c r="FE33" s="281"/>
      <c r="FF33" s="281"/>
      <c r="FG33" s="281"/>
      <c r="FH33" s="281"/>
      <c r="FI33" s="281"/>
      <c r="FJ33" s="281"/>
      <c r="FK33" s="281"/>
      <c r="FL33" s="281"/>
      <c r="FM33" s="281"/>
      <c r="FN33" s="281"/>
      <c r="FO33" s="281"/>
      <c r="FP33" s="281"/>
      <c r="FQ33" s="281"/>
      <c r="FR33" s="281"/>
      <c r="FS33" s="281"/>
      <c r="FT33" s="281"/>
      <c r="FU33" s="281"/>
      <c r="FV33" s="281"/>
      <c r="FW33" s="281"/>
      <c r="FX33" s="281"/>
      <c r="FY33" s="281"/>
      <c r="FZ33" s="281"/>
      <c r="GA33" s="281"/>
      <c r="GB33" s="281"/>
      <c r="GC33" s="281"/>
      <c r="GD33" s="281"/>
      <c r="GE33" s="281"/>
      <c r="GF33" s="281"/>
      <c r="GG33" s="281"/>
      <c r="GH33" s="281"/>
      <c r="GI33" s="281"/>
      <c r="GJ33" s="281"/>
      <c r="GK33" s="281"/>
      <c r="GL33" s="281"/>
      <c r="GM33" s="281"/>
      <c r="GN33" s="281"/>
      <c r="GO33" s="281"/>
      <c r="GP33" s="281"/>
      <c r="GQ33" s="281"/>
      <c r="GR33" s="281"/>
      <c r="GS33" s="281"/>
      <c r="GT33" s="281"/>
      <c r="GU33" s="281"/>
      <c r="GV33" s="281"/>
      <c r="GW33" s="281"/>
      <c r="GX33" s="281"/>
      <c r="GY33" s="281"/>
      <c r="GZ33" s="281"/>
      <c r="HA33" s="281"/>
      <c r="HB33" s="281"/>
      <c r="HC33" s="281"/>
      <c r="HD33" s="281"/>
      <c r="HE33" s="281"/>
      <c r="HF33" s="281"/>
      <c r="HG33" s="281"/>
      <c r="HH33" s="281"/>
      <c r="HI33" s="281"/>
      <c r="HJ33" s="281"/>
      <c r="HK33" s="281"/>
      <c r="HL33" s="281"/>
      <c r="HM33" s="281"/>
      <c r="HN33" s="281"/>
      <c r="HO33" s="281"/>
      <c r="HP33" s="281"/>
      <c r="HQ33" s="281"/>
      <c r="HR33" s="281"/>
      <c r="HS33" s="281"/>
      <c r="HT33" s="281"/>
      <c r="HU33" s="281"/>
      <c r="HV33" s="281"/>
      <c r="HW33" s="281"/>
      <c r="HX33" s="281"/>
      <c r="HY33" s="281"/>
      <c r="HZ33" s="281"/>
      <c r="IA33" s="281"/>
      <c r="IB33" s="281"/>
      <c r="IC33" s="281"/>
      <c r="ID33" s="281"/>
      <c r="IE33" s="281"/>
      <c r="IF33" s="281"/>
      <c r="IG33" s="281"/>
      <c r="IH33" s="281"/>
      <c r="II33" s="281"/>
      <c r="IJ33" s="281"/>
      <c r="IK33" s="281"/>
      <c r="IL33" s="281"/>
      <c r="IM33" s="281"/>
      <c r="IN33" s="281"/>
      <c r="IO33" s="281"/>
      <c r="IP33" s="282"/>
    </row>
    <row r="34" spans="1:250" ht="23" customHeight="1" x14ac:dyDescent="0.15">
      <c r="A34" s="283"/>
      <c r="B34" s="284"/>
      <c r="C34" s="11" t="s">
        <v>13</v>
      </c>
      <c r="D34" s="2557">
        <v>17.970533089208999</v>
      </c>
      <c r="E34" s="502">
        <f>100-((D34*100)/100)</f>
        <v>82.029466910791001</v>
      </c>
      <c r="F34" s="574">
        <v>1</v>
      </c>
      <c r="G34" s="174"/>
      <c r="H34" s="11" t="s">
        <v>13</v>
      </c>
      <c r="I34" s="2563">
        <v>5.1620199359529977</v>
      </c>
      <c r="J34" s="502">
        <f>100-((I34*100)/100)</f>
        <v>94.837980064047002</v>
      </c>
      <c r="K34" s="574">
        <v>1</v>
      </c>
      <c r="L34" s="576"/>
      <c r="M34" s="16" t="s">
        <v>23</v>
      </c>
      <c r="N34" s="638">
        <f>'H TGE'!F18</f>
        <v>335931.19068097876</v>
      </c>
      <c r="O34" s="434">
        <f>'H TGE'!F19</f>
        <v>7.149777331531384</v>
      </c>
      <c r="P34" s="435">
        <v>1</v>
      </c>
      <c r="Q34" s="576"/>
      <c r="R34" s="313" t="s">
        <v>10</v>
      </c>
      <c r="S34" s="525">
        <f>'H TGE'!D21</f>
        <v>5</v>
      </c>
      <c r="T34" s="525">
        <f>'H TGE'!D22</f>
        <v>0</v>
      </c>
      <c r="U34" s="525">
        <f>'H TGE'!D23</f>
        <v>0</v>
      </c>
      <c r="V34" s="525">
        <f>'H TGE'!D24</f>
        <v>0</v>
      </c>
      <c r="W34" s="525">
        <f>'H TGE'!D25</f>
        <v>0</v>
      </c>
      <c r="X34" s="525">
        <f>'H TGE'!D26</f>
        <v>0</v>
      </c>
      <c r="Y34" s="525">
        <f>'H TGE'!D27</f>
        <v>0</v>
      </c>
      <c r="Z34" s="448">
        <f>'H TGE'!D29</f>
        <v>1</v>
      </c>
      <c r="AA34" s="578"/>
      <c r="AB34" s="344" t="s">
        <v>18</v>
      </c>
      <c r="AC34" s="345">
        <f>'H TGE'!L7</f>
        <v>3.9489986299003021E-2</v>
      </c>
      <c r="AD34" s="345">
        <f>'H TGE'!L8</f>
        <v>9.8724965747507554</v>
      </c>
      <c r="AE34" s="515">
        <v>1</v>
      </c>
      <c r="AF34" s="1730"/>
      <c r="AG34" s="710"/>
      <c r="AH34" s="1776">
        <v>1</v>
      </c>
      <c r="AI34" s="552" t="s">
        <v>18</v>
      </c>
      <c r="AJ34" s="553">
        <v>14</v>
      </c>
      <c r="AK34" s="1768">
        <f t="shared" ref="AK34:AK43" si="3">AJ34/5</f>
        <v>2.8</v>
      </c>
      <c r="AL34" s="710"/>
      <c r="AM34" s="534"/>
      <c r="AN34" s="2682">
        <v>1</v>
      </c>
      <c r="AO34" s="2686" t="s">
        <v>18</v>
      </c>
      <c r="AP34" s="2688">
        <v>3.4</v>
      </c>
      <c r="AQ34" s="2688">
        <v>3.4</v>
      </c>
      <c r="AR34" s="2688">
        <v>2.8</v>
      </c>
      <c r="AS34" s="2688">
        <v>2.4</v>
      </c>
      <c r="AT34" s="2692">
        <f t="shared" ref="AT34:AT43" si="4">(AS34+AR34+AQ34+AP34)/4</f>
        <v>3</v>
      </c>
      <c r="AU34" s="581"/>
      <c r="AV34" s="550"/>
      <c r="AW34" s="429"/>
      <c r="AX34" s="393"/>
      <c r="AY34" s="582"/>
      <c r="AZ34" s="583"/>
      <c r="BA34" s="584" t="s">
        <v>173</v>
      </c>
      <c r="BB34" s="585" t="s">
        <v>146</v>
      </c>
      <c r="BC34" s="586"/>
      <c r="BD34" s="587"/>
      <c r="BE34" s="301"/>
      <c r="BF34" s="281"/>
      <c r="BG34" s="281"/>
      <c r="BH34" s="281"/>
      <c r="BI34" s="281"/>
      <c r="BJ34" s="281"/>
      <c r="BK34" s="281"/>
      <c r="BL34" s="281"/>
      <c r="BM34" s="281"/>
      <c r="BN34" s="281"/>
      <c r="BO34" s="281"/>
      <c r="BP34" s="281"/>
      <c r="BQ34" s="281"/>
      <c r="BR34" s="281"/>
      <c r="BS34" s="281"/>
      <c r="BT34" s="281"/>
      <c r="BU34" s="281"/>
      <c r="BV34" s="281"/>
      <c r="BW34" s="281"/>
      <c r="BX34" s="281"/>
      <c r="BY34" s="281"/>
      <c r="BZ34" s="281"/>
      <c r="CA34" s="281"/>
      <c r="CB34" s="281"/>
      <c r="CC34" s="281"/>
      <c r="CD34" s="281"/>
      <c r="CE34" s="281"/>
      <c r="CF34" s="281"/>
      <c r="CG34" s="281"/>
      <c r="CH34" s="281"/>
      <c r="CI34" s="281"/>
      <c r="CJ34" s="281"/>
      <c r="CK34" s="281"/>
      <c r="CL34" s="281"/>
      <c r="CM34" s="281"/>
      <c r="CN34" s="281"/>
      <c r="CO34" s="281"/>
      <c r="CP34" s="281"/>
      <c r="CQ34" s="281"/>
      <c r="CR34" s="281"/>
      <c r="CS34" s="281"/>
      <c r="CT34" s="281"/>
      <c r="CU34" s="281"/>
      <c r="CV34" s="281"/>
      <c r="CW34" s="281"/>
      <c r="CX34" s="281"/>
      <c r="CY34" s="281"/>
      <c r="CZ34" s="281"/>
      <c r="DA34" s="281"/>
      <c r="DB34" s="281"/>
      <c r="DC34" s="281"/>
      <c r="DD34" s="281"/>
      <c r="DE34" s="281"/>
      <c r="DF34" s="281"/>
      <c r="DG34" s="281"/>
      <c r="DH34" s="281"/>
      <c r="DI34" s="281"/>
      <c r="DJ34" s="281"/>
      <c r="DK34" s="281"/>
      <c r="DL34" s="281"/>
      <c r="DM34" s="281"/>
      <c r="DN34" s="281"/>
      <c r="DO34" s="281"/>
      <c r="DP34" s="281"/>
      <c r="DQ34" s="281"/>
      <c r="DR34" s="281"/>
      <c r="DS34" s="281"/>
      <c r="DT34" s="281"/>
      <c r="DU34" s="281"/>
      <c r="DV34" s="281"/>
      <c r="DW34" s="281"/>
      <c r="DX34" s="281"/>
      <c r="DY34" s="281"/>
      <c r="DZ34" s="281"/>
      <c r="EA34" s="281"/>
      <c r="EB34" s="281"/>
      <c r="EC34" s="281"/>
      <c r="ED34" s="281"/>
      <c r="EE34" s="281"/>
      <c r="EF34" s="281"/>
      <c r="EG34" s="281"/>
      <c r="EH34" s="281"/>
      <c r="EI34" s="281"/>
      <c r="EJ34" s="281"/>
      <c r="EK34" s="281"/>
      <c r="EL34" s="281"/>
      <c r="EM34" s="281"/>
      <c r="EN34" s="281"/>
      <c r="EO34" s="281"/>
      <c r="EP34" s="281"/>
      <c r="EQ34" s="281"/>
      <c r="ER34" s="281"/>
      <c r="ES34" s="281"/>
      <c r="ET34" s="281"/>
      <c r="EU34" s="281"/>
      <c r="EV34" s="281"/>
      <c r="EW34" s="281"/>
      <c r="EX34" s="281"/>
      <c r="EY34" s="281"/>
      <c r="EZ34" s="281"/>
      <c r="FA34" s="281"/>
      <c r="FB34" s="281"/>
      <c r="FC34" s="281"/>
      <c r="FD34" s="281"/>
      <c r="FE34" s="281"/>
      <c r="FF34" s="281"/>
      <c r="FG34" s="281"/>
      <c r="FH34" s="281"/>
      <c r="FI34" s="281"/>
      <c r="FJ34" s="281"/>
      <c r="FK34" s="281"/>
      <c r="FL34" s="281"/>
      <c r="FM34" s="281"/>
      <c r="FN34" s="281"/>
      <c r="FO34" s="281"/>
      <c r="FP34" s="281"/>
      <c r="FQ34" s="281"/>
      <c r="FR34" s="281"/>
      <c r="FS34" s="281"/>
      <c r="FT34" s="281"/>
      <c r="FU34" s="281"/>
      <c r="FV34" s="281"/>
      <c r="FW34" s="281"/>
      <c r="FX34" s="281"/>
      <c r="FY34" s="281"/>
      <c r="FZ34" s="281"/>
      <c r="GA34" s="281"/>
      <c r="GB34" s="281"/>
      <c r="GC34" s="281"/>
      <c r="GD34" s="281"/>
      <c r="GE34" s="281"/>
      <c r="GF34" s="281"/>
      <c r="GG34" s="281"/>
      <c r="GH34" s="281"/>
      <c r="GI34" s="281"/>
      <c r="GJ34" s="281"/>
      <c r="GK34" s="281"/>
      <c r="GL34" s="281"/>
      <c r="GM34" s="281"/>
      <c r="GN34" s="281"/>
      <c r="GO34" s="281"/>
      <c r="GP34" s="281"/>
      <c r="GQ34" s="281"/>
      <c r="GR34" s="281"/>
      <c r="GS34" s="281"/>
      <c r="GT34" s="281"/>
      <c r="GU34" s="281"/>
      <c r="GV34" s="281"/>
      <c r="GW34" s="281"/>
      <c r="GX34" s="281"/>
      <c r="GY34" s="281"/>
      <c r="GZ34" s="281"/>
      <c r="HA34" s="281"/>
      <c r="HB34" s="281"/>
      <c r="HC34" s="281"/>
      <c r="HD34" s="281"/>
      <c r="HE34" s="281"/>
      <c r="HF34" s="281"/>
      <c r="HG34" s="281"/>
      <c r="HH34" s="281"/>
      <c r="HI34" s="281"/>
      <c r="HJ34" s="281"/>
      <c r="HK34" s="281"/>
      <c r="HL34" s="281"/>
      <c r="HM34" s="281"/>
      <c r="HN34" s="281"/>
      <c r="HO34" s="281"/>
      <c r="HP34" s="281"/>
      <c r="HQ34" s="281"/>
      <c r="HR34" s="281"/>
      <c r="HS34" s="281"/>
      <c r="HT34" s="281"/>
      <c r="HU34" s="281"/>
      <c r="HV34" s="281"/>
      <c r="HW34" s="281"/>
      <c r="HX34" s="281"/>
      <c r="HY34" s="281"/>
      <c r="HZ34" s="281"/>
      <c r="IA34" s="281"/>
      <c r="IB34" s="281"/>
      <c r="IC34" s="281"/>
      <c r="ID34" s="281"/>
      <c r="IE34" s="281"/>
      <c r="IF34" s="281"/>
      <c r="IG34" s="281"/>
      <c r="IH34" s="281"/>
      <c r="II34" s="281"/>
      <c r="IJ34" s="281"/>
      <c r="IK34" s="281"/>
      <c r="IL34" s="281"/>
      <c r="IM34" s="281"/>
      <c r="IN34" s="281"/>
      <c r="IO34" s="281"/>
      <c r="IP34" s="282"/>
    </row>
    <row r="35" spans="1:250" ht="21" customHeight="1" x14ac:dyDescent="0.15">
      <c r="A35" s="283"/>
      <c r="B35" s="284"/>
      <c r="C35" s="344" t="s">
        <v>18</v>
      </c>
      <c r="D35" s="2558">
        <v>20.972244915403991</v>
      </c>
      <c r="E35" s="345">
        <f>100-((D35*100)/100)</f>
        <v>79.027755084596009</v>
      </c>
      <c r="F35" s="628">
        <v>2</v>
      </c>
      <c r="G35" s="174"/>
      <c r="H35" s="344" t="s">
        <v>18</v>
      </c>
      <c r="I35" s="2565">
        <v>8.1637317621479895</v>
      </c>
      <c r="J35" s="345">
        <f>100-((I35*100)/100)</f>
        <v>91.836268237852011</v>
      </c>
      <c r="K35" s="628">
        <v>2</v>
      </c>
      <c r="L35" s="591"/>
      <c r="M35" s="313" t="s">
        <v>10</v>
      </c>
      <c r="N35" s="541">
        <f>'H TGE'!D18</f>
        <v>0.13149774749048837</v>
      </c>
      <c r="O35" s="314">
        <f>'H TGE'!D19</f>
        <v>5.8191927806322328</v>
      </c>
      <c r="P35" s="448">
        <v>2</v>
      </c>
      <c r="Q35" s="591"/>
      <c r="R35" s="16" t="s">
        <v>23</v>
      </c>
      <c r="S35" s="657">
        <f>'H TGE'!F21</f>
        <v>5</v>
      </c>
      <c r="T35" s="657">
        <f>'H TGE'!F22</f>
        <v>0</v>
      </c>
      <c r="U35" s="657">
        <f>'H TGE'!F23</f>
        <v>0</v>
      </c>
      <c r="V35" s="657">
        <f>'H TGE'!F24</f>
        <v>0</v>
      </c>
      <c r="W35" s="657">
        <f>'H TGE'!F25</f>
        <v>0</v>
      </c>
      <c r="X35" s="657">
        <f>'H TGE'!F26</f>
        <v>0</v>
      </c>
      <c r="Y35" s="657">
        <f>'H TGE'!F27</f>
        <v>0</v>
      </c>
      <c r="Z35" s="435">
        <f>'H TGE'!F29</f>
        <v>2</v>
      </c>
      <c r="AA35" s="343"/>
      <c r="AB35" s="449" t="s">
        <v>11</v>
      </c>
      <c r="AC35" s="468">
        <f>'H TGE'!E7</f>
        <v>1.2503986263070033</v>
      </c>
      <c r="AD35" s="468">
        <f>'H TGE'!E8</f>
        <v>9.8713083311518375</v>
      </c>
      <c r="AE35" s="469">
        <v>2</v>
      </c>
      <c r="AF35" s="1731"/>
      <c r="AG35" s="739"/>
      <c r="AH35" s="1771">
        <v>2</v>
      </c>
      <c r="AI35" s="405" t="s">
        <v>23</v>
      </c>
      <c r="AJ35" s="657">
        <v>19</v>
      </c>
      <c r="AK35" s="1754">
        <f t="shared" si="3"/>
        <v>3.8</v>
      </c>
      <c r="AL35" s="739"/>
      <c r="AM35" s="545"/>
      <c r="AN35" s="2683">
        <v>2</v>
      </c>
      <c r="AO35" s="1783" t="s">
        <v>10</v>
      </c>
      <c r="AP35" s="2689">
        <v>3.8</v>
      </c>
      <c r="AQ35" s="2689">
        <v>4</v>
      </c>
      <c r="AR35" s="2689">
        <v>4</v>
      </c>
      <c r="AS35" s="2689">
        <v>2.4</v>
      </c>
      <c r="AT35" s="2693">
        <f t="shared" si="4"/>
        <v>3.55</v>
      </c>
      <c r="AU35" s="595"/>
      <c r="AV35" s="527"/>
      <c r="AW35" s="429"/>
      <c r="AX35" s="354"/>
      <c r="AY35" s="596"/>
      <c r="AZ35" s="583"/>
      <c r="BA35" s="597" t="s">
        <v>174</v>
      </c>
      <c r="BB35" s="598" t="s">
        <v>175</v>
      </c>
      <c r="BC35" s="438"/>
      <c r="BD35" s="599"/>
      <c r="BE35" s="301"/>
      <c r="BF35" s="281"/>
      <c r="BG35" s="281"/>
      <c r="BH35" s="281"/>
      <c r="BI35" s="281"/>
      <c r="BJ35" s="281"/>
      <c r="BK35" s="281"/>
      <c r="BL35" s="281"/>
      <c r="BM35" s="281"/>
      <c r="BN35" s="281"/>
      <c r="BO35" s="281"/>
      <c r="BP35" s="281"/>
      <c r="BQ35" s="281"/>
      <c r="BR35" s="281"/>
      <c r="BS35" s="281"/>
      <c r="BT35" s="281"/>
      <c r="BU35" s="281"/>
      <c r="BV35" s="281"/>
      <c r="BW35" s="281"/>
      <c r="BX35" s="281"/>
      <c r="BY35" s="281"/>
      <c r="BZ35" s="281"/>
      <c r="CA35" s="281"/>
      <c r="CB35" s="281"/>
      <c r="CC35" s="281"/>
      <c r="CD35" s="281"/>
      <c r="CE35" s="281"/>
      <c r="CF35" s="281"/>
      <c r="CG35" s="281"/>
      <c r="CH35" s="281"/>
      <c r="CI35" s="281"/>
      <c r="CJ35" s="281"/>
      <c r="CK35" s="281"/>
      <c r="CL35" s="281"/>
      <c r="CM35" s="281"/>
      <c r="CN35" s="281"/>
      <c r="CO35" s="281"/>
      <c r="CP35" s="281"/>
      <c r="CQ35" s="281"/>
      <c r="CR35" s="281"/>
      <c r="CS35" s="281"/>
      <c r="CT35" s="281"/>
      <c r="CU35" s="281"/>
      <c r="CV35" s="281"/>
      <c r="CW35" s="281"/>
      <c r="CX35" s="281"/>
      <c r="CY35" s="281"/>
      <c r="CZ35" s="281"/>
      <c r="DA35" s="281"/>
      <c r="DB35" s="281"/>
      <c r="DC35" s="281"/>
      <c r="DD35" s="281"/>
      <c r="DE35" s="281"/>
      <c r="DF35" s="281"/>
      <c r="DG35" s="281"/>
      <c r="DH35" s="281"/>
      <c r="DI35" s="281"/>
      <c r="DJ35" s="281"/>
      <c r="DK35" s="281"/>
      <c r="DL35" s="281"/>
      <c r="DM35" s="281"/>
      <c r="DN35" s="281"/>
      <c r="DO35" s="281"/>
      <c r="DP35" s="281"/>
      <c r="DQ35" s="281"/>
      <c r="DR35" s="281"/>
      <c r="DS35" s="281"/>
      <c r="DT35" s="281"/>
      <c r="DU35" s="281"/>
      <c r="DV35" s="281"/>
      <c r="DW35" s="281"/>
      <c r="DX35" s="281"/>
      <c r="DY35" s="281"/>
      <c r="DZ35" s="281"/>
      <c r="EA35" s="281"/>
      <c r="EB35" s="281"/>
      <c r="EC35" s="281"/>
      <c r="ED35" s="281"/>
      <c r="EE35" s="281"/>
      <c r="EF35" s="281"/>
      <c r="EG35" s="281"/>
      <c r="EH35" s="281"/>
      <c r="EI35" s="281"/>
      <c r="EJ35" s="281"/>
      <c r="EK35" s="281"/>
      <c r="EL35" s="281"/>
      <c r="EM35" s="281"/>
      <c r="EN35" s="281"/>
      <c r="EO35" s="281"/>
      <c r="EP35" s="281"/>
      <c r="EQ35" s="281"/>
      <c r="ER35" s="281"/>
      <c r="ES35" s="281"/>
      <c r="ET35" s="281"/>
      <c r="EU35" s="281"/>
      <c r="EV35" s="281"/>
      <c r="EW35" s="281"/>
      <c r="EX35" s="281"/>
      <c r="EY35" s="281"/>
      <c r="EZ35" s="281"/>
      <c r="FA35" s="281"/>
      <c r="FB35" s="281"/>
      <c r="FC35" s="281"/>
      <c r="FD35" s="281"/>
      <c r="FE35" s="281"/>
      <c r="FF35" s="281"/>
      <c r="FG35" s="281"/>
      <c r="FH35" s="281"/>
      <c r="FI35" s="281"/>
      <c r="FJ35" s="281"/>
      <c r="FK35" s="281"/>
      <c r="FL35" s="281"/>
      <c r="FM35" s="281"/>
      <c r="FN35" s="281"/>
      <c r="FO35" s="281"/>
      <c r="FP35" s="281"/>
      <c r="FQ35" s="281"/>
      <c r="FR35" s="281"/>
      <c r="FS35" s="281"/>
      <c r="FT35" s="281"/>
      <c r="FU35" s="281"/>
      <c r="FV35" s="281"/>
      <c r="FW35" s="281"/>
      <c r="FX35" s="281"/>
      <c r="FY35" s="281"/>
      <c r="FZ35" s="281"/>
      <c r="GA35" s="281"/>
      <c r="GB35" s="281"/>
      <c r="GC35" s="281"/>
      <c r="GD35" s="281"/>
      <c r="GE35" s="281"/>
      <c r="GF35" s="281"/>
      <c r="GG35" s="281"/>
      <c r="GH35" s="281"/>
      <c r="GI35" s="281"/>
      <c r="GJ35" s="281"/>
      <c r="GK35" s="281"/>
      <c r="GL35" s="281"/>
      <c r="GM35" s="281"/>
      <c r="GN35" s="281"/>
      <c r="GO35" s="281"/>
      <c r="GP35" s="281"/>
      <c r="GQ35" s="281"/>
      <c r="GR35" s="281"/>
      <c r="GS35" s="281"/>
      <c r="GT35" s="281"/>
      <c r="GU35" s="281"/>
      <c r="GV35" s="281"/>
      <c r="GW35" s="281"/>
      <c r="GX35" s="281"/>
      <c r="GY35" s="281"/>
      <c r="GZ35" s="281"/>
      <c r="HA35" s="281"/>
      <c r="HB35" s="281"/>
      <c r="HC35" s="281"/>
      <c r="HD35" s="281"/>
      <c r="HE35" s="281"/>
      <c r="HF35" s="281"/>
      <c r="HG35" s="281"/>
      <c r="HH35" s="281"/>
      <c r="HI35" s="281"/>
      <c r="HJ35" s="281"/>
      <c r="HK35" s="281"/>
      <c r="HL35" s="281"/>
      <c r="HM35" s="281"/>
      <c r="HN35" s="281"/>
      <c r="HO35" s="281"/>
      <c r="HP35" s="281"/>
      <c r="HQ35" s="281"/>
      <c r="HR35" s="281"/>
      <c r="HS35" s="281"/>
      <c r="HT35" s="281"/>
      <c r="HU35" s="281"/>
      <c r="HV35" s="281"/>
      <c r="HW35" s="281"/>
      <c r="HX35" s="281"/>
      <c r="HY35" s="281"/>
      <c r="HZ35" s="281"/>
      <c r="IA35" s="281"/>
      <c r="IB35" s="281"/>
      <c r="IC35" s="281"/>
      <c r="ID35" s="281"/>
      <c r="IE35" s="281"/>
      <c r="IF35" s="281"/>
      <c r="IG35" s="281"/>
      <c r="IH35" s="281"/>
      <c r="II35" s="281"/>
      <c r="IJ35" s="281"/>
      <c r="IK35" s="281"/>
      <c r="IL35" s="281"/>
      <c r="IM35" s="281"/>
      <c r="IN35" s="281"/>
      <c r="IO35" s="281"/>
      <c r="IP35" s="282"/>
    </row>
    <row r="36" spans="1:250" ht="23" customHeight="1" x14ac:dyDescent="0.15">
      <c r="A36" s="283"/>
      <c r="B36" s="284"/>
      <c r="C36" s="449" t="s">
        <v>11</v>
      </c>
      <c r="D36" s="2571">
        <v>16.763148765078</v>
      </c>
      <c r="E36" s="468">
        <f>90-((D36*90)/100)</f>
        <v>74.913166111429803</v>
      </c>
      <c r="F36" s="590">
        <v>3</v>
      </c>
      <c r="G36" s="174"/>
      <c r="H36" s="16" t="s">
        <v>23</v>
      </c>
      <c r="I36" s="2562">
        <v>19.155519631695995</v>
      </c>
      <c r="J36" s="434">
        <f>100-((I36*100)/100)</f>
        <v>80.844480368304005</v>
      </c>
      <c r="K36" s="616">
        <v>3</v>
      </c>
      <c r="L36" s="602"/>
      <c r="M36" s="338" t="s">
        <v>18</v>
      </c>
      <c r="N36" s="1478">
        <f>'H TGE'!L18</f>
        <v>2.7589380064298112E-6</v>
      </c>
      <c r="O36" s="339">
        <f>'H TGE'!L19</f>
        <v>5.7964600214327184</v>
      </c>
      <c r="P36" s="340">
        <v>3</v>
      </c>
      <c r="Q36" s="602"/>
      <c r="R36" s="449" t="s">
        <v>11</v>
      </c>
      <c r="S36" s="543">
        <f>'H TGE'!E21</f>
        <v>3</v>
      </c>
      <c r="T36" s="543">
        <f>'H TGE'!E22</f>
        <v>0</v>
      </c>
      <c r="U36" s="543">
        <f>'H TGE'!E23</f>
        <v>1</v>
      </c>
      <c r="V36" s="543">
        <f>'H TGE'!E24</f>
        <v>1</v>
      </c>
      <c r="W36" s="543">
        <f>'H TGE'!E25</f>
        <v>0</v>
      </c>
      <c r="X36" s="543">
        <f>'H TGE'!E26</f>
        <v>0</v>
      </c>
      <c r="Y36" s="543">
        <f>'H TGE'!E27</f>
        <v>0</v>
      </c>
      <c r="Z36" s="469">
        <f>'H TGE'!E29</f>
        <v>3</v>
      </c>
      <c r="AA36" s="368"/>
      <c r="AB36" s="304" t="s">
        <v>14</v>
      </c>
      <c r="AC36" s="1617">
        <f>'H TGE'!H7</f>
        <v>0.21423142285399877</v>
      </c>
      <c r="AD36" s="365">
        <f>'H TGE'!H8</f>
        <v>9.0507571970426177</v>
      </c>
      <c r="AE36" s="366">
        <v>3</v>
      </c>
      <c r="AF36" s="1732"/>
      <c r="AG36" s="1739"/>
      <c r="AH36" s="1773">
        <v>3</v>
      </c>
      <c r="AI36" s="440" t="s">
        <v>13</v>
      </c>
      <c r="AJ36" s="517">
        <v>19</v>
      </c>
      <c r="AK36" s="1757">
        <f t="shared" si="3"/>
        <v>3.8</v>
      </c>
      <c r="AL36" s="1739"/>
      <c r="AM36" s="513"/>
      <c r="AN36" s="2096">
        <v>3</v>
      </c>
      <c r="AO36" s="2100" t="s">
        <v>179</v>
      </c>
      <c r="AP36" s="2104">
        <v>4.4000000000000004</v>
      </c>
      <c r="AQ36" s="2104">
        <v>5</v>
      </c>
      <c r="AR36" s="2104">
        <v>3.8</v>
      </c>
      <c r="AS36" s="2104">
        <v>5.4</v>
      </c>
      <c r="AT36" s="2106">
        <f t="shared" si="4"/>
        <v>4.6500000000000004</v>
      </c>
      <c r="AU36" s="609"/>
      <c r="AV36" s="511"/>
      <c r="AW36" s="610"/>
      <c r="AX36" s="610"/>
      <c r="AY36" s="611"/>
      <c r="AZ36" s="583"/>
      <c r="BA36" s="612" t="s">
        <v>176</v>
      </c>
      <c r="BB36" s="613" t="s">
        <v>104</v>
      </c>
      <c r="BC36" s="502"/>
      <c r="BD36" s="614"/>
      <c r="BE36" s="301"/>
      <c r="BF36" s="281"/>
      <c r="BG36" s="281"/>
      <c r="BH36" s="281"/>
      <c r="BI36" s="281"/>
      <c r="BJ36" s="281"/>
      <c r="BK36" s="281"/>
      <c r="BL36" s="281"/>
      <c r="BM36" s="281"/>
      <c r="BN36" s="281"/>
      <c r="BO36" s="281"/>
      <c r="BP36" s="281"/>
      <c r="BQ36" s="281"/>
      <c r="BR36" s="281"/>
      <c r="BS36" s="281"/>
      <c r="BT36" s="281"/>
      <c r="BU36" s="281"/>
      <c r="BV36" s="281"/>
      <c r="BW36" s="281"/>
      <c r="BX36" s="281"/>
      <c r="BY36" s="281"/>
      <c r="BZ36" s="281"/>
      <c r="CA36" s="281"/>
      <c r="CB36" s="281"/>
      <c r="CC36" s="281"/>
      <c r="CD36" s="281"/>
      <c r="CE36" s="281"/>
      <c r="CF36" s="281"/>
      <c r="CG36" s="281"/>
      <c r="CH36" s="281"/>
      <c r="CI36" s="281"/>
      <c r="CJ36" s="281"/>
      <c r="CK36" s="281"/>
      <c r="CL36" s="281"/>
      <c r="CM36" s="281"/>
      <c r="CN36" s="281"/>
      <c r="CO36" s="281"/>
      <c r="CP36" s="281"/>
      <c r="CQ36" s="281"/>
      <c r="CR36" s="281"/>
      <c r="CS36" s="281"/>
      <c r="CT36" s="281"/>
      <c r="CU36" s="281"/>
      <c r="CV36" s="281"/>
      <c r="CW36" s="281"/>
      <c r="CX36" s="281"/>
      <c r="CY36" s="281"/>
      <c r="CZ36" s="281"/>
      <c r="DA36" s="281"/>
      <c r="DB36" s="281"/>
      <c r="DC36" s="281"/>
      <c r="DD36" s="281"/>
      <c r="DE36" s="281"/>
      <c r="DF36" s="281"/>
      <c r="DG36" s="281"/>
      <c r="DH36" s="281"/>
      <c r="DI36" s="281"/>
      <c r="DJ36" s="281"/>
      <c r="DK36" s="281"/>
      <c r="DL36" s="281"/>
      <c r="DM36" s="281"/>
      <c r="DN36" s="281"/>
      <c r="DO36" s="281"/>
      <c r="DP36" s="281"/>
      <c r="DQ36" s="281"/>
      <c r="DR36" s="281"/>
      <c r="DS36" s="281"/>
      <c r="DT36" s="281"/>
      <c r="DU36" s="281"/>
      <c r="DV36" s="281"/>
      <c r="DW36" s="281"/>
      <c r="DX36" s="281"/>
      <c r="DY36" s="281"/>
      <c r="DZ36" s="281"/>
      <c r="EA36" s="281"/>
      <c r="EB36" s="281"/>
      <c r="EC36" s="281"/>
      <c r="ED36" s="281"/>
      <c r="EE36" s="281"/>
      <c r="EF36" s="281"/>
      <c r="EG36" s="281"/>
      <c r="EH36" s="281"/>
      <c r="EI36" s="281"/>
      <c r="EJ36" s="281"/>
      <c r="EK36" s="281"/>
      <c r="EL36" s="281"/>
      <c r="EM36" s="281"/>
      <c r="EN36" s="281"/>
      <c r="EO36" s="281"/>
      <c r="EP36" s="281"/>
      <c r="EQ36" s="281"/>
      <c r="ER36" s="281"/>
      <c r="ES36" s="281"/>
      <c r="ET36" s="281"/>
      <c r="EU36" s="281"/>
      <c r="EV36" s="281"/>
      <c r="EW36" s="281"/>
      <c r="EX36" s="281"/>
      <c r="EY36" s="281"/>
      <c r="EZ36" s="281"/>
      <c r="FA36" s="281"/>
      <c r="FB36" s="281"/>
      <c r="FC36" s="281"/>
      <c r="FD36" s="281"/>
      <c r="FE36" s="281"/>
      <c r="FF36" s="281"/>
      <c r="FG36" s="281"/>
      <c r="FH36" s="281"/>
      <c r="FI36" s="281"/>
      <c r="FJ36" s="281"/>
      <c r="FK36" s="281"/>
      <c r="FL36" s="281"/>
      <c r="FM36" s="281"/>
      <c r="FN36" s="281"/>
      <c r="FO36" s="281"/>
      <c r="FP36" s="281"/>
      <c r="FQ36" s="281"/>
      <c r="FR36" s="281"/>
      <c r="FS36" s="281"/>
      <c r="FT36" s="281"/>
      <c r="FU36" s="281"/>
      <c r="FV36" s="281"/>
      <c r="FW36" s="281"/>
      <c r="FX36" s="281"/>
      <c r="FY36" s="281"/>
      <c r="FZ36" s="281"/>
      <c r="GA36" s="281"/>
      <c r="GB36" s="281"/>
      <c r="GC36" s="281"/>
      <c r="GD36" s="281"/>
      <c r="GE36" s="281"/>
      <c r="GF36" s="281"/>
      <c r="GG36" s="281"/>
      <c r="GH36" s="281"/>
      <c r="GI36" s="281"/>
      <c r="GJ36" s="281"/>
      <c r="GK36" s="281"/>
      <c r="GL36" s="281"/>
      <c r="GM36" s="281"/>
      <c r="GN36" s="281"/>
      <c r="GO36" s="281"/>
      <c r="GP36" s="281"/>
      <c r="GQ36" s="281"/>
      <c r="GR36" s="281"/>
      <c r="GS36" s="281"/>
      <c r="GT36" s="281"/>
      <c r="GU36" s="281"/>
      <c r="GV36" s="281"/>
      <c r="GW36" s="281"/>
      <c r="GX36" s="281"/>
      <c r="GY36" s="281"/>
      <c r="GZ36" s="281"/>
      <c r="HA36" s="281"/>
      <c r="HB36" s="281"/>
      <c r="HC36" s="281"/>
      <c r="HD36" s="281"/>
      <c r="HE36" s="281"/>
      <c r="HF36" s="281"/>
      <c r="HG36" s="281"/>
      <c r="HH36" s="281"/>
      <c r="HI36" s="281"/>
      <c r="HJ36" s="281"/>
      <c r="HK36" s="281"/>
      <c r="HL36" s="281"/>
      <c r="HM36" s="281"/>
      <c r="HN36" s="281"/>
      <c r="HO36" s="281"/>
      <c r="HP36" s="281"/>
      <c r="HQ36" s="281"/>
      <c r="HR36" s="281"/>
      <c r="HS36" s="281"/>
      <c r="HT36" s="281"/>
      <c r="HU36" s="281"/>
      <c r="HV36" s="281"/>
      <c r="HW36" s="281"/>
      <c r="HX36" s="281"/>
      <c r="HY36" s="281"/>
      <c r="HZ36" s="281"/>
      <c r="IA36" s="281"/>
      <c r="IB36" s="281"/>
      <c r="IC36" s="281"/>
      <c r="ID36" s="281"/>
      <c r="IE36" s="281"/>
      <c r="IF36" s="281"/>
      <c r="IG36" s="281"/>
      <c r="IH36" s="281"/>
      <c r="II36" s="281"/>
      <c r="IJ36" s="281"/>
      <c r="IK36" s="281"/>
      <c r="IL36" s="281"/>
      <c r="IM36" s="281"/>
      <c r="IN36" s="281"/>
      <c r="IO36" s="281"/>
      <c r="IP36" s="282"/>
    </row>
    <row r="37" spans="1:250" ht="23" customHeight="1" x14ac:dyDescent="0.15">
      <c r="A37" s="283"/>
      <c r="B37" s="284"/>
      <c r="C37" s="304" t="s">
        <v>14</v>
      </c>
      <c r="D37" s="2555">
        <v>19.289405364499004</v>
      </c>
      <c r="E37" s="365">
        <f>90-((D37*90)/100)</f>
        <v>72.639535171950897</v>
      </c>
      <c r="F37" s="615">
        <v>4</v>
      </c>
      <c r="G37" s="174"/>
      <c r="H37" s="313" t="s">
        <v>10</v>
      </c>
      <c r="I37" s="2026">
        <v>19.732759413249994</v>
      </c>
      <c r="J37" s="314">
        <f>100-((I37*100)/100)</f>
        <v>80.267240586750006</v>
      </c>
      <c r="K37" s="575">
        <v>4</v>
      </c>
      <c r="L37" s="617"/>
      <c r="M37" s="307" t="s">
        <v>15</v>
      </c>
      <c r="N37" s="407">
        <f>'H TGE'!I18</f>
        <v>1.037792385310583</v>
      </c>
      <c r="O37" s="309">
        <f>'H TGE'!I19</f>
        <v>3.6284325474230905</v>
      </c>
      <c r="P37" s="577">
        <v>4</v>
      </c>
      <c r="Q37" s="617"/>
      <c r="R37" s="11" t="s">
        <v>13</v>
      </c>
      <c r="S37" s="517">
        <f>'H TGE'!G21</f>
        <v>3</v>
      </c>
      <c r="T37" s="517">
        <f>'H TGE'!G22</f>
        <v>0</v>
      </c>
      <c r="U37" s="517">
        <f>'H TGE'!G23</f>
        <v>1</v>
      </c>
      <c r="V37" s="517">
        <f>'H TGE'!G24</f>
        <v>1</v>
      </c>
      <c r="W37" s="517">
        <f>'H TGE'!G25</f>
        <v>0</v>
      </c>
      <c r="X37" s="517">
        <f>'H TGE'!G26</f>
        <v>0</v>
      </c>
      <c r="Y37" s="517">
        <f>'H TGE'!G27</f>
        <v>0</v>
      </c>
      <c r="Z37" s="503">
        <f>'H TGE'!G29</f>
        <v>4</v>
      </c>
      <c r="AA37" s="386"/>
      <c r="AB37" s="11" t="s">
        <v>13</v>
      </c>
      <c r="AC37" s="502">
        <f>'H TGE'!G7</f>
        <v>0.71339064024900267</v>
      </c>
      <c r="AD37" s="502">
        <f>'H TGE'!G8</f>
        <v>8.9173830031125334</v>
      </c>
      <c r="AE37" s="503">
        <v>4</v>
      </c>
      <c r="AF37" s="1733"/>
      <c r="AG37" s="774"/>
      <c r="AH37" s="1770">
        <v>4</v>
      </c>
      <c r="AI37" s="473" t="s">
        <v>10</v>
      </c>
      <c r="AJ37" s="525">
        <v>20</v>
      </c>
      <c r="AK37" s="1756">
        <f t="shared" si="3"/>
        <v>4</v>
      </c>
      <c r="AL37" s="774"/>
      <c r="AM37" s="521"/>
      <c r="AN37" s="2684">
        <v>4</v>
      </c>
      <c r="AO37" s="647" t="s">
        <v>13</v>
      </c>
      <c r="AP37" s="2690">
        <v>6.8</v>
      </c>
      <c r="AQ37" s="2690">
        <v>4.2</v>
      </c>
      <c r="AR37" s="2690">
        <v>3.8</v>
      </c>
      <c r="AS37" s="2690">
        <v>4.8</v>
      </c>
      <c r="AT37" s="2694">
        <f t="shared" si="4"/>
        <v>4.9000000000000004</v>
      </c>
      <c r="AU37" s="622"/>
      <c r="AV37" s="623"/>
      <c r="AW37" s="610"/>
      <c r="AX37" s="624"/>
      <c r="AY37" s="625"/>
      <c r="AZ37" s="583"/>
      <c r="BA37" s="626" t="s">
        <v>177</v>
      </c>
      <c r="BB37" s="627" t="s">
        <v>13</v>
      </c>
      <c r="BC37" s="546"/>
      <c r="BD37" s="596"/>
      <c r="BE37" s="30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/>
      <c r="BZ37" s="281"/>
      <c r="CA37" s="281"/>
      <c r="CB37" s="281"/>
      <c r="CC37" s="281"/>
      <c r="CD37" s="281"/>
      <c r="CE37" s="281"/>
      <c r="CF37" s="281"/>
      <c r="CG37" s="281"/>
      <c r="CH37" s="281"/>
      <c r="CI37" s="281"/>
      <c r="CJ37" s="281"/>
      <c r="CK37" s="281"/>
      <c r="CL37" s="281"/>
      <c r="CM37" s="281"/>
      <c r="CN37" s="281"/>
      <c r="CO37" s="281"/>
      <c r="CP37" s="281"/>
      <c r="CQ37" s="281"/>
      <c r="CR37" s="281"/>
      <c r="CS37" s="281"/>
      <c r="CT37" s="281"/>
      <c r="CU37" s="281"/>
      <c r="CV37" s="281"/>
      <c r="CW37" s="281"/>
      <c r="CX37" s="281"/>
      <c r="CY37" s="281"/>
      <c r="CZ37" s="281"/>
      <c r="DA37" s="281"/>
      <c r="DB37" s="281"/>
      <c r="DC37" s="281"/>
      <c r="DD37" s="281"/>
      <c r="DE37" s="281"/>
      <c r="DF37" s="281"/>
      <c r="DG37" s="281"/>
      <c r="DH37" s="281"/>
      <c r="DI37" s="281"/>
      <c r="DJ37" s="281"/>
      <c r="DK37" s="281"/>
      <c r="DL37" s="281"/>
      <c r="DM37" s="281"/>
      <c r="DN37" s="281"/>
      <c r="DO37" s="281"/>
      <c r="DP37" s="281"/>
      <c r="DQ37" s="281"/>
      <c r="DR37" s="281"/>
      <c r="DS37" s="281"/>
      <c r="DT37" s="281"/>
      <c r="DU37" s="281"/>
      <c r="DV37" s="281"/>
      <c r="DW37" s="281"/>
      <c r="DX37" s="281"/>
      <c r="DY37" s="281"/>
      <c r="DZ37" s="281"/>
      <c r="EA37" s="281"/>
      <c r="EB37" s="281"/>
      <c r="EC37" s="281"/>
      <c r="ED37" s="281"/>
      <c r="EE37" s="281"/>
      <c r="EF37" s="281"/>
      <c r="EG37" s="281"/>
      <c r="EH37" s="281"/>
      <c r="EI37" s="281"/>
      <c r="EJ37" s="281"/>
      <c r="EK37" s="281"/>
      <c r="EL37" s="281"/>
      <c r="EM37" s="281"/>
      <c r="EN37" s="281"/>
      <c r="EO37" s="281"/>
      <c r="EP37" s="281"/>
      <c r="EQ37" s="281"/>
      <c r="ER37" s="281"/>
      <c r="ES37" s="281"/>
      <c r="ET37" s="281"/>
      <c r="EU37" s="281"/>
      <c r="EV37" s="281"/>
      <c r="EW37" s="281"/>
      <c r="EX37" s="281"/>
      <c r="EY37" s="281"/>
      <c r="EZ37" s="281"/>
      <c r="FA37" s="281"/>
      <c r="FB37" s="281"/>
      <c r="FC37" s="281"/>
      <c r="FD37" s="281"/>
      <c r="FE37" s="281"/>
      <c r="FF37" s="281"/>
      <c r="FG37" s="281"/>
      <c r="FH37" s="281"/>
      <c r="FI37" s="281"/>
      <c r="FJ37" s="281"/>
      <c r="FK37" s="281"/>
      <c r="FL37" s="281"/>
      <c r="FM37" s="281"/>
      <c r="FN37" s="281"/>
      <c r="FO37" s="281"/>
      <c r="FP37" s="281"/>
      <c r="FQ37" s="281"/>
      <c r="FR37" s="281"/>
      <c r="FS37" s="281"/>
      <c r="FT37" s="281"/>
      <c r="FU37" s="281"/>
      <c r="FV37" s="281"/>
      <c r="FW37" s="281"/>
      <c r="FX37" s="281"/>
      <c r="FY37" s="281"/>
      <c r="FZ37" s="281"/>
      <c r="GA37" s="281"/>
      <c r="GB37" s="281"/>
      <c r="GC37" s="281"/>
      <c r="GD37" s="281"/>
      <c r="GE37" s="281"/>
      <c r="GF37" s="281"/>
      <c r="GG37" s="281"/>
      <c r="GH37" s="281"/>
      <c r="GI37" s="281"/>
      <c r="GJ37" s="281"/>
      <c r="GK37" s="281"/>
      <c r="GL37" s="281"/>
      <c r="GM37" s="281"/>
      <c r="GN37" s="281"/>
      <c r="GO37" s="281"/>
      <c r="GP37" s="281"/>
      <c r="GQ37" s="281"/>
      <c r="GR37" s="281"/>
      <c r="GS37" s="281"/>
      <c r="GT37" s="281"/>
      <c r="GU37" s="281"/>
      <c r="GV37" s="281"/>
      <c r="GW37" s="281"/>
      <c r="GX37" s="281"/>
      <c r="GY37" s="281"/>
      <c r="GZ37" s="281"/>
      <c r="HA37" s="281"/>
      <c r="HB37" s="281"/>
      <c r="HC37" s="281"/>
      <c r="HD37" s="281"/>
      <c r="HE37" s="281"/>
      <c r="HF37" s="281"/>
      <c r="HG37" s="281"/>
      <c r="HH37" s="281"/>
      <c r="HI37" s="281"/>
      <c r="HJ37" s="281"/>
      <c r="HK37" s="281"/>
      <c r="HL37" s="281"/>
      <c r="HM37" s="281"/>
      <c r="HN37" s="281"/>
      <c r="HO37" s="281"/>
      <c r="HP37" s="281"/>
      <c r="HQ37" s="281"/>
      <c r="HR37" s="281"/>
      <c r="HS37" s="281"/>
      <c r="HT37" s="281"/>
      <c r="HU37" s="281"/>
      <c r="HV37" s="281"/>
      <c r="HW37" s="281"/>
      <c r="HX37" s="281"/>
      <c r="HY37" s="281"/>
      <c r="HZ37" s="281"/>
      <c r="IA37" s="281"/>
      <c r="IB37" s="281"/>
      <c r="IC37" s="281"/>
      <c r="ID37" s="281"/>
      <c r="IE37" s="281"/>
      <c r="IF37" s="281"/>
      <c r="IG37" s="281"/>
      <c r="IH37" s="281"/>
      <c r="II37" s="281"/>
      <c r="IJ37" s="281"/>
      <c r="IK37" s="281"/>
      <c r="IL37" s="281"/>
      <c r="IM37" s="281"/>
      <c r="IN37" s="281"/>
      <c r="IO37" s="281"/>
      <c r="IP37" s="282"/>
    </row>
    <row r="38" spans="1:250" ht="23" customHeight="1" x14ac:dyDescent="0.15">
      <c r="A38" s="283"/>
      <c r="B38" s="284"/>
      <c r="C38" s="335" t="s">
        <v>17</v>
      </c>
      <c r="D38" s="2572">
        <v>32.808087873934028</v>
      </c>
      <c r="E38" s="400">
        <f>100-((D38*100)/100)</f>
        <v>67.191912126065972</v>
      </c>
      <c r="F38" s="601">
        <v>5</v>
      </c>
      <c r="G38" s="174"/>
      <c r="H38" s="307" t="s">
        <v>15</v>
      </c>
      <c r="I38" s="2566">
        <v>9.4354829584390245</v>
      </c>
      <c r="J38" s="309">
        <f>85-((I38*85)/100)</f>
        <v>76.979839485326835</v>
      </c>
      <c r="K38" s="600">
        <v>5</v>
      </c>
      <c r="L38" s="630"/>
      <c r="M38" s="335" t="s">
        <v>17</v>
      </c>
      <c r="N38" s="2528">
        <f>'H TGE'!K18</f>
        <v>1.8422477151644075E-2</v>
      </c>
      <c r="O38" s="400">
        <f>'H TGE'!K19</f>
        <v>2.7184662170651857</v>
      </c>
      <c r="P38" s="401">
        <v>5</v>
      </c>
      <c r="Q38" s="630"/>
      <c r="R38" s="304" t="s">
        <v>14</v>
      </c>
      <c r="S38" s="548">
        <f>'H TGE'!H21</f>
        <v>3</v>
      </c>
      <c r="T38" s="548">
        <f>'H TGE'!H22</f>
        <v>0</v>
      </c>
      <c r="U38" s="548">
        <f>'H TGE'!H23</f>
        <v>1</v>
      </c>
      <c r="V38" s="548">
        <f>'H TGE'!H24</f>
        <v>1</v>
      </c>
      <c r="W38" s="548">
        <f>'H TGE'!H25</f>
        <v>0</v>
      </c>
      <c r="X38" s="548">
        <f>'H TGE'!H26</f>
        <v>0</v>
      </c>
      <c r="Y38" s="548">
        <f>'H TGE'!H27</f>
        <v>0</v>
      </c>
      <c r="Z38" s="366">
        <f>'H TGE'!H29</f>
        <v>5</v>
      </c>
      <c r="AA38" s="403"/>
      <c r="AB38" s="16" t="s">
        <v>23</v>
      </c>
      <c r="AC38" s="434">
        <f>'H TGE'!F7</f>
        <v>1.0028810727200153</v>
      </c>
      <c r="AD38" s="434">
        <f>'H TGE'!F8</f>
        <v>7.9698715146679691</v>
      </c>
      <c r="AE38" s="435">
        <v>5</v>
      </c>
      <c r="AF38" s="1734"/>
      <c r="AG38" s="773"/>
      <c r="AH38" s="1772">
        <v>5</v>
      </c>
      <c r="AI38" s="542" t="s">
        <v>11</v>
      </c>
      <c r="AJ38" s="543">
        <v>25</v>
      </c>
      <c r="AK38" s="1759">
        <f t="shared" si="3"/>
        <v>5</v>
      </c>
      <c r="AL38" s="773"/>
      <c r="AM38" s="500"/>
      <c r="AN38" s="658">
        <v>8</v>
      </c>
      <c r="AO38" s="659" t="s">
        <v>11</v>
      </c>
      <c r="AP38" s="660">
        <v>7.2</v>
      </c>
      <c r="AQ38" s="660">
        <v>6</v>
      </c>
      <c r="AR38" s="660">
        <v>5</v>
      </c>
      <c r="AS38" s="660">
        <v>5.8</v>
      </c>
      <c r="AT38" s="661">
        <f t="shared" si="4"/>
        <v>6</v>
      </c>
      <c r="AU38" s="633"/>
      <c r="AV38" s="509"/>
      <c r="AW38" s="634"/>
      <c r="AX38" s="634"/>
      <c r="AY38" s="611"/>
      <c r="AZ38" s="583"/>
      <c r="BA38" s="635" t="s">
        <v>178</v>
      </c>
      <c r="BB38" s="1152" t="s">
        <v>53</v>
      </c>
      <c r="BC38" s="637"/>
      <c r="BD38" s="284"/>
      <c r="BE38" s="30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81"/>
      <c r="BX38" s="281"/>
      <c r="BY38" s="281"/>
      <c r="BZ38" s="281"/>
      <c r="CA38" s="281"/>
      <c r="CB38" s="281"/>
      <c r="CC38" s="281"/>
      <c r="CD38" s="281"/>
      <c r="CE38" s="281"/>
      <c r="CF38" s="281"/>
      <c r="CG38" s="281"/>
      <c r="CH38" s="281"/>
      <c r="CI38" s="281"/>
      <c r="CJ38" s="281"/>
      <c r="CK38" s="281"/>
      <c r="CL38" s="281"/>
      <c r="CM38" s="281"/>
      <c r="CN38" s="281"/>
      <c r="CO38" s="281"/>
      <c r="CP38" s="281"/>
      <c r="CQ38" s="281"/>
      <c r="CR38" s="281"/>
      <c r="CS38" s="281"/>
      <c r="CT38" s="281"/>
      <c r="CU38" s="281"/>
      <c r="CV38" s="281"/>
      <c r="CW38" s="281"/>
      <c r="CX38" s="281"/>
      <c r="CY38" s="281"/>
      <c r="CZ38" s="281"/>
      <c r="DA38" s="281"/>
      <c r="DB38" s="281"/>
      <c r="DC38" s="281"/>
      <c r="DD38" s="281"/>
      <c r="DE38" s="281"/>
      <c r="DF38" s="281"/>
      <c r="DG38" s="281"/>
      <c r="DH38" s="281"/>
      <c r="DI38" s="281"/>
      <c r="DJ38" s="281"/>
      <c r="DK38" s="281"/>
      <c r="DL38" s="281"/>
      <c r="DM38" s="281"/>
      <c r="DN38" s="281"/>
      <c r="DO38" s="281"/>
      <c r="DP38" s="281"/>
      <c r="DQ38" s="281"/>
      <c r="DR38" s="281"/>
      <c r="DS38" s="281"/>
      <c r="DT38" s="281"/>
      <c r="DU38" s="281"/>
      <c r="DV38" s="281"/>
      <c r="DW38" s="281"/>
      <c r="DX38" s="281"/>
      <c r="DY38" s="281"/>
      <c r="DZ38" s="281"/>
      <c r="EA38" s="281"/>
      <c r="EB38" s="281"/>
      <c r="EC38" s="281"/>
      <c r="ED38" s="281"/>
      <c r="EE38" s="281"/>
      <c r="EF38" s="281"/>
      <c r="EG38" s="281"/>
      <c r="EH38" s="281"/>
      <c r="EI38" s="281"/>
      <c r="EJ38" s="281"/>
      <c r="EK38" s="281"/>
      <c r="EL38" s="281"/>
      <c r="EM38" s="281"/>
      <c r="EN38" s="281"/>
      <c r="EO38" s="281"/>
      <c r="EP38" s="281"/>
      <c r="EQ38" s="281"/>
      <c r="ER38" s="281"/>
      <c r="ES38" s="281"/>
      <c r="ET38" s="281"/>
      <c r="EU38" s="281"/>
      <c r="EV38" s="281"/>
      <c r="EW38" s="281"/>
      <c r="EX38" s="281"/>
      <c r="EY38" s="281"/>
      <c r="EZ38" s="281"/>
      <c r="FA38" s="281"/>
      <c r="FB38" s="281"/>
      <c r="FC38" s="281"/>
      <c r="FD38" s="281"/>
      <c r="FE38" s="281"/>
      <c r="FF38" s="281"/>
      <c r="FG38" s="281"/>
      <c r="FH38" s="281"/>
      <c r="FI38" s="281"/>
      <c r="FJ38" s="281"/>
      <c r="FK38" s="281"/>
      <c r="FL38" s="281"/>
      <c r="FM38" s="281"/>
      <c r="FN38" s="281"/>
      <c r="FO38" s="281"/>
      <c r="FP38" s="281"/>
      <c r="FQ38" s="281"/>
      <c r="FR38" s="281"/>
      <c r="FS38" s="281"/>
      <c r="FT38" s="281"/>
      <c r="FU38" s="281"/>
      <c r="FV38" s="281"/>
      <c r="FW38" s="281"/>
      <c r="FX38" s="281"/>
      <c r="FY38" s="281"/>
      <c r="FZ38" s="281"/>
      <c r="GA38" s="281"/>
      <c r="GB38" s="281"/>
      <c r="GC38" s="281"/>
      <c r="GD38" s="281"/>
      <c r="GE38" s="281"/>
      <c r="GF38" s="281"/>
      <c r="GG38" s="281"/>
      <c r="GH38" s="281"/>
      <c r="GI38" s="281"/>
      <c r="GJ38" s="281"/>
      <c r="GK38" s="281"/>
      <c r="GL38" s="281"/>
      <c r="GM38" s="281"/>
      <c r="GN38" s="281"/>
      <c r="GO38" s="281"/>
      <c r="GP38" s="281"/>
      <c r="GQ38" s="281"/>
      <c r="GR38" s="281"/>
      <c r="GS38" s="281"/>
      <c r="GT38" s="281"/>
      <c r="GU38" s="281"/>
      <c r="GV38" s="281"/>
      <c r="GW38" s="281"/>
      <c r="GX38" s="281"/>
      <c r="GY38" s="281"/>
      <c r="GZ38" s="281"/>
      <c r="HA38" s="281"/>
      <c r="HB38" s="281"/>
      <c r="HC38" s="281"/>
      <c r="HD38" s="281"/>
      <c r="HE38" s="281"/>
      <c r="HF38" s="281"/>
      <c r="HG38" s="281"/>
      <c r="HH38" s="281"/>
      <c r="HI38" s="281"/>
      <c r="HJ38" s="281"/>
      <c r="HK38" s="281"/>
      <c r="HL38" s="281"/>
      <c r="HM38" s="281"/>
      <c r="HN38" s="281"/>
      <c r="HO38" s="281"/>
      <c r="HP38" s="281"/>
      <c r="HQ38" s="281"/>
      <c r="HR38" s="281"/>
      <c r="HS38" s="281"/>
      <c r="HT38" s="281"/>
      <c r="HU38" s="281"/>
      <c r="HV38" s="281"/>
      <c r="HW38" s="281"/>
      <c r="HX38" s="281"/>
      <c r="HY38" s="281"/>
      <c r="HZ38" s="281"/>
      <c r="IA38" s="281"/>
      <c r="IB38" s="281"/>
      <c r="IC38" s="281"/>
      <c r="ID38" s="281"/>
      <c r="IE38" s="281"/>
      <c r="IF38" s="281"/>
      <c r="IG38" s="281"/>
      <c r="IH38" s="281"/>
      <c r="II38" s="281"/>
      <c r="IJ38" s="281"/>
      <c r="IK38" s="281"/>
      <c r="IL38" s="281"/>
      <c r="IM38" s="281"/>
      <c r="IN38" s="281"/>
      <c r="IO38" s="281"/>
      <c r="IP38" s="282"/>
    </row>
    <row r="39" spans="1:250" ht="24" customHeight="1" x14ac:dyDescent="0.15">
      <c r="A39" s="283"/>
      <c r="B39" s="284"/>
      <c r="C39" s="413" t="s">
        <v>16</v>
      </c>
      <c r="D39" s="2559">
        <v>32.946306737122995</v>
      </c>
      <c r="E39" s="438">
        <f>100-((D39*100)/100)</f>
        <v>67.053693262877005</v>
      </c>
      <c r="F39" s="629">
        <v>6</v>
      </c>
      <c r="G39" s="174"/>
      <c r="H39" s="304" t="s">
        <v>14</v>
      </c>
      <c r="I39" s="2564">
        <v>33.978181482244992</v>
      </c>
      <c r="J39" s="365">
        <f>100-((I39*100)/100)</f>
        <v>66.021818517755008</v>
      </c>
      <c r="K39" s="615">
        <v>6</v>
      </c>
      <c r="L39" s="639"/>
      <c r="M39" s="416" t="s">
        <v>16</v>
      </c>
      <c r="N39" s="631">
        <f>'H TGE'!J18</f>
        <v>3.6313834745000599E-2</v>
      </c>
      <c r="O39" s="418">
        <f>'H TGE'!J19</f>
        <v>2.2491386153381718</v>
      </c>
      <c r="P39" s="419">
        <v>6</v>
      </c>
      <c r="Q39" s="639"/>
      <c r="R39" s="344" t="s">
        <v>18</v>
      </c>
      <c r="S39" s="553">
        <f>'H TGE'!L21</f>
        <v>3</v>
      </c>
      <c r="T39" s="553">
        <f>'H TGE'!L22</f>
        <v>0</v>
      </c>
      <c r="U39" s="553">
        <f>'H TGE'!L23</f>
        <v>1</v>
      </c>
      <c r="V39" s="553">
        <f>'H TGE'!L24</f>
        <v>1</v>
      </c>
      <c r="W39" s="553">
        <f>'H TGE'!L25</f>
        <v>0</v>
      </c>
      <c r="X39" s="553">
        <f>'H TGE'!L26</f>
        <v>0</v>
      </c>
      <c r="Y39" s="553">
        <f>'H TGE'!L27</f>
        <v>0</v>
      </c>
      <c r="Z39" s="515">
        <f>'H TGE'!L29</f>
        <v>6</v>
      </c>
      <c r="AA39" s="420"/>
      <c r="AB39" s="313" t="s">
        <v>10</v>
      </c>
      <c r="AC39" s="2552">
        <f>'H TGE'!D7</f>
        <v>1.3153989587059982</v>
      </c>
      <c r="AD39" s="314">
        <f>'H TGE'!D8</f>
        <v>6.0709787174320322</v>
      </c>
      <c r="AE39" s="448">
        <v>6</v>
      </c>
      <c r="AF39" s="1735"/>
      <c r="AG39" s="734"/>
      <c r="AH39" s="1779">
        <v>6</v>
      </c>
      <c r="AI39" s="347" t="s">
        <v>14</v>
      </c>
      <c r="AJ39" s="548">
        <v>26</v>
      </c>
      <c r="AK39" s="1761">
        <f t="shared" si="3"/>
        <v>5.2</v>
      </c>
      <c r="AL39" s="734"/>
      <c r="AM39" s="528"/>
      <c r="AN39" s="2095">
        <v>6</v>
      </c>
      <c r="AO39" s="2098" t="s">
        <v>17</v>
      </c>
      <c r="AP39" s="2102">
        <v>4.8</v>
      </c>
      <c r="AQ39" s="2102">
        <v>6.2</v>
      </c>
      <c r="AR39" s="2102">
        <v>7.2</v>
      </c>
      <c r="AS39" s="2102">
        <v>5.8</v>
      </c>
      <c r="AT39" s="2105">
        <f t="shared" si="4"/>
        <v>6</v>
      </c>
      <c r="AU39" s="640"/>
      <c r="AV39" s="641"/>
      <c r="AW39" s="634"/>
      <c r="AX39" s="634"/>
      <c r="AY39" s="611"/>
      <c r="AZ39" s="583"/>
      <c r="BA39" s="642" t="s">
        <v>180</v>
      </c>
      <c r="BB39" s="643" t="s">
        <v>181</v>
      </c>
      <c r="BC39" s="309"/>
      <c r="BD39" s="644"/>
      <c r="BE39" s="30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1"/>
      <c r="CC39" s="281"/>
      <c r="CD39" s="281"/>
      <c r="CE39" s="281"/>
      <c r="CF39" s="281"/>
      <c r="CG39" s="281"/>
      <c r="CH39" s="281"/>
      <c r="CI39" s="281"/>
      <c r="CJ39" s="281"/>
      <c r="CK39" s="281"/>
      <c r="CL39" s="281"/>
      <c r="CM39" s="281"/>
      <c r="CN39" s="281"/>
      <c r="CO39" s="281"/>
      <c r="CP39" s="281"/>
      <c r="CQ39" s="281"/>
      <c r="CR39" s="281"/>
      <c r="CS39" s="281"/>
      <c r="CT39" s="281"/>
      <c r="CU39" s="281"/>
      <c r="CV39" s="281"/>
      <c r="CW39" s="281"/>
      <c r="CX39" s="281"/>
      <c r="CY39" s="281"/>
      <c r="CZ39" s="281"/>
      <c r="DA39" s="281"/>
      <c r="DB39" s="281"/>
      <c r="DC39" s="281"/>
      <c r="DD39" s="281"/>
      <c r="DE39" s="281"/>
      <c r="DF39" s="281"/>
      <c r="DG39" s="281"/>
      <c r="DH39" s="281"/>
      <c r="DI39" s="281"/>
      <c r="DJ39" s="281"/>
      <c r="DK39" s="281"/>
      <c r="DL39" s="281"/>
      <c r="DM39" s="281"/>
      <c r="DN39" s="281"/>
      <c r="DO39" s="281"/>
      <c r="DP39" s="281"/>
      <c r="DQ39" s="281"/>
      <c r="DR39" s="281"/>
      <c r="DS39" s="281"/>
      <c r="DT39" s="281"/>
      <c r="DU39" s="281"/>
      <c r="DV39" s="281"/>
      <c r="DW39" s="281"/>
      <c r="DX39" s="281"/>
      <c r="DY39" s="281"/>
      <c r="DZ39" s="281"/>
      <c r="EA39" s="281"/>
      <c r="EB39" s="281"/>
      <c r="EC39" s="281"/>
      <c r="ED39" s="281"/>
      <c r="EE39" s="281"/>
      <c r="EF39" s="281"/>
      <c r="EG39" s="281"/>
      <c r="EH39" s="281"/>
      <c r="EI39" s="281"/>
      <c r="EJ39" s="281"/>
      <c r="EK39" s="281"/>
      <c r="EL39" s="281"/>
      <c r="EM39" s="281"/>
      <c r="EN39" s="281"/>
      <c r="EO39" s="281"/>
      <c r="EP39" s="281"/>
      <c r="EQ39" s="281"/>
      <c r="ER39" s="281"/>
      <c r="ES39" s="281"/>
      <c r="ET39" s="281"/>
      <c r="EU39" s="281"/>
      <c r="EV39" s="281"/>
      <c r="EW39" s="281"/>
      <c r="EX39" s="281"/>
      <c r="EY39" s="281"/>
      <c r="EZ39" s="281"/>
      <c r="FA39" s="281"/>
      <c r="FB39" s="281"/>
      <c r="FC39" s="281"/>
      <c r="FD39" s="281"/>
      <c r="FE39" s="281"/>
      <c r="FF39" s="281"/>
      <c r="FG39" s="281"/>
      <c r="FH39" s="281"/>
      <c r="FI39" s="281"/>
      <c r="FJ39" s="281"/>
      <c r="FK39" s="281"/>
      <c r="FL39" s="281"/>
      <c r="FM39" s="281"/>
      <c r="FN39" s="281"/>
      <c r="FO39" s="281"/>
      <c r="FP39" s="281"/>
      <c r="FQ39" s="281"/>
      <c r="FR39" s="281"/>
      <c r="FS39" s="281"/>
      <c r="FT39" s="281"/>
      <c r="FU39" s="281"/>
      <c r="FV39" s="281"/>
      <c r="FW39" s="281"/>
      <c r="FX39" s="281"/>
      <c r="FY39" s="281"/>
      <c r="FZ39" s="281"/>
      <c r="GA39" s="281"/>
      <c r="GB39" s="281"/>
      <c r="GC39" s="281"/>
      <c r="GD39" s="281"/>
      <c r="GE39" s="281"/>
      <c r="GF39" s="281"/>
      <c r="GG39" s="281"/>
      <c r="GH39" s="281"/>
      <c r="GI39" s="281"/>
      <c r="GJ39" s="281"/>
      <c r="GK39" s="281"/>
      <c r="GL39" s="281"/>
      <c r="GM39" s="281"/>
      <c r="GN39" s="281"/>
      <c r="GO39" s="281"/>
      <c r="GP39" s="281"/>
      <c r="GQ39" s="281"/>
      <c r="GR39" s="281"/>
      <c r="GS39" s="281"/>
      <c r="GT39" s="281"/>
      <c r="GU39" s="281"/>
      <c r="GV39" s="281"/>
      <c r="GW39" s="281"/>
      <c r="GX39" s="281"/>
      <c r="GY39" s="281"/>
      <c r="GZ39" s="281"/>
      <c r="HA39" s="281"/>
      <c r="HB39" s="281"/>
      <c r="HC39" s="281"/>
      <c r="HD39" s="281"/>
      <c r="HE39" s="281"/>
      <c r="HF39" s="281"/>
      <c r="HG39" s="281"/>
      <c r="HH39" s="281"/>
      <c r="HI39" s="281"/>
      <c r="HJ39" s="281"/>
      <c r="HK39" s="281"/>
      <c r="HL39" s="281"/>
      <c r="HM39" s="281"/>
      <c r="HN39" s="281"/>
      <c r="HO39" s="281"/>
      <c r="HP39" s="281"/>
      <c r="HQ39" s="281"/>
      <c r="HR39" s="281"/>
      <c r="HS39" s="281"/>
      <c r="HT39" s="281"/>
      <c r="HU39" s="281"/>
      <c r="HV39" s="281"/>
      <c r="HW39" s="281"/>
      <c r="HX39" s="281"/>
      <c r="HY39" s="281"/>
      <c r="HZ39" s="281"/>
      <c r="IA39" s="281"/>
      <c r="IB39" s="281"/>
      <c r="IC39" s="281"/>
      <c r="ID39" s="281"/>
      <c r="IE39" s="281"/>
      <c r="IF39" s="281"/>
      <c r="IG39" s="281"/>
      <c r="IH39" s="281"/>
      <c r="II39" s="281"/>
      <c r="IJ39" s="281"/>
      <c r="IK39" s="281"/>
      <c r="IL39" s="281"/>
      <c r="IM39" s="281"/>
      <c r="IN39" s="281"/>
      <c r="IO39" s="281"/>
      <c r="IP39" s="282"/>
    </row>
    <row r="40" spans="1:250" ht="23" customHeight="1" x14ac:dyDescent="0.15">
      <c r="A40" s="283"/>
      <c r="B40" s="284"/>
      <c r="C40" s="313" t="s">
        <v>10</v>
      </c>
      <c r="D40" s="2553">
        <v>33.534827433494002</v>
      </c>
      <c r="E40" s="314">
        <f>90-((D40*90)/100)</f>
        <v>59.818655309855401</v>
      </c>
      <c r="F40" s="575">
        <v>7</v>
      </c>
      <c r="G40" s="174"/>
      <c r="H40" s="449" t="s">
        <v>11</v>
      </c>
      <c r="I40" s="2573">
        <v>36.504438081665995</v>
      </c>
      <c r="J40" s="468">
        <f>100-((I40*100)/100)</f>
        <v>63.495561918334005</v>
      </c>
      <c r="K40" s="590">
        <v>7</v>
      </c>
      <c r="L40" s="645"/>
      <c r="M40" s="1974" t="s">
        <v>9</v>
      </c>
      <c r="N40" s="646">
        <f>'H TGE'!C18</f>
        <v>1540.1972611302065</v>
      </c>
      <c r="O40" s="384">
        <f>'H TGE'!C19</f>
        <v>2.0662008275565427</v>
      </c>
      <c r="P40" s="385">
        <v>7</v>
      </c>
      <c r="Q40" s="645"/>
      <c r="R40" s="413" t="s">
        <v>16</v>
      </c>
      <c r="S40" s="538">
        <f>'H TGE'!J21</f>
        <v>1</v>
      </c>
      <c r="T40" s="538">
        <f>'H TGE'!J22</f>
        <v>0</v>
      </c>
      <c r="U40" s="538">
        <f>'H TGE'!J23</f>
        <v>0</v>
      </c>
      <c r="V40" s="538">
        <f>'H TGE'!J24</f>
        <v>0</v>
      </c>
      <c r="W40" s="538">
        <f>'H TGE'!J25</f>
        <v>0</v>
      </c>
      <c r="X40" s="538">
        <f>'H TGE'!J26</f>
        <v>0</v>
      </c>
      <c r="Y40" s="538">
        <f>'H TGE'!J27</f>
        <v>0</v>
      </c>
      <c r="Z40" s="530">
        <f>'H TGE'!J29</f>
        <v>7</v>
      </c>
      <c r="AA40" s="437"/>
      <c r="AB40" s="332" t="s">
        <v>9</v>
      </c>
      <c r="AC40" s="586">
        <f>'H TGE'!C7</f>
        <v>13.188420425839013</v>
      </c>
      <c r="AD40" s="586">
        <f>'H TGE'!C8</f>
        <v>5.3140340430649768</v>
      </c>
      <c r="AE40" s="604">
        <v>7</v>
      </c>
      <c r="AF40" s="1736"/>
      <c r="AG40" s="781"/>
      <c r="AH40" s="1946">
        <v>7</v>
      </c>
      <c r="AI40" s="387" t="s">
        <v>17</v>
      </c>
      <c r="AJ40" s="531">
        <v>36</v>
      </c>
      <c r="AK40" s="1765">
        <f t="shared" si="3"/>
        <v>7.2</v>
      </c>
      <c r="AL40" s="781"/>
      <c r="AM40" s="533"/>
      <c r="AN40" s="605">
        <v>7</v>
      </c>
      <c r="AO40" s="606" t="s">
        <v>14</v>
      </c>
      <c r="AP40" s="607">
        <v>7</v>
      </c>
      <c r="AQ40" s="607">
        <v>5.8</v>
      </c>
      <c r="AR40" s="607">
        <v>5.2</v>
      </c>
      <c r="AS40" s="607">
        <v>7</v>
      </c>
      <c r="AT40" s="608">
        <f t="shared" si="4"/>
        <v>6.25</v>
      </c>
      <c r="AU40" s="648"/>
      <c r="AV40" s="649"/>
      <c r="AW40" s="634"/>
      <c r="AX40" s="650"/>
      <c r="AY40" s="614"/>
      <c r="AZ40" s="651"/>
      <c r="BA40" s="652" t="s">
        <v>182</v>
      </c>
      <c r="BB40" s="653" t="s">
        <v>58</v>
      </c>
      <c r="BC40" s="365"/>
      <c r="BD40" s="654"/>
      <c r="BE40" s="301"/>
      <c r="BF40" s="281"/>
      <c r="BG40" s="281"/>
      <c r="BH40" s="281"/>
      <c r="BI40" s="281"/>
      <c r="BJ40" s="281"/>
      <c r="BK40" s="281"/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  <c r="BW40" s="281"/>
      <c r="BX40" s="281"/>
      <c r="BY40" s="281"/>
      <c r="BZ40" s="281"/>
      <c r="CA40" s="281"/>
      <c r="CB40" s="281"/>
      <c r="CC40" s="281"/>
      <c r="CD40" s="281"/>
      <c r="CE40" s="281"/>
      <c r="CF40" s="281"/>
      <c r="CG40" s="281"/>
      <c r="CH40" s="281"/>
      <c r="CI40" s="281"/>
      <c r="CJ40" s="281"/>
      <c r="CK40" s="281"/>
      <c r="CL40" s="281"/>
      <c r="CM40" s="281"/>
      <c r="CN40" s="281"/>
      <c r="CO40" s="281"/>
      <c r="CP40" s="281"/>
      <c r="CQ40" s="281"/>
      <c r="CR40" s="281"/>
      <c r="CS40" s="281"/>
      <c r="CT40" s="281"/>
      <c r="CU40" s="281"/>
      <c r="CV40" s="281"/>
      <c r="CW40" s="281"/>
      <c r="CX40" s="281"/>
      <c r="CY40" s="281"/>
      <c r="CZ40" s="281"/>
      <c r="DA40" s="281"/>
      <c r="DB40" s="281"/>
      <c r="DC40" s="281"/>
      <c r="DD40" s="281"/>
      <c r="DE40" s="281"/>
      <c r="DF40" s="281"/>
      <c r="DG40" s="281"/>
      <c r="DH40" s="281"/>
      <c r="DI40" s="281"/>
      <c r="DJ40" s="281"/>
      <c r="DK40" s="281"/>
      <c r="DL40" s="281"/>
      <c r="DM40" s="281"/>
      <c r="DN40" s="281"/>
      <c r="DO40" s="281"/>
      <c r="DP40" s="281"/>
      <c r="DQ40" s="281"/>
      <c r="DR40" s="281"/>
      <c r="DS40" s="281"/>
      <c r="DT40" s="281"/>
      <c r="DU40" s="281"/>
      <c r="DV40" s="281"/>
      <c r="DW40" s="281"/>
      <c r="DX40" s="281"/>
      <c r="DY40" s="281"/>
      <c r="DZ40" s="281"/>
      <c r="EA40" s="281"/>
      <c r="EB40" s="281"/>
      <c r="EC40" s="281"/>
      <c r="ED40" s="281"/>
      <c r="EE40" s="281"/>
      <c r="EF40" s="281"/>
      <c r="EG40" s="281"/>
      <c r="EH40" s="281"/>
      <c r="EI40" s="281"/>
      <c r="EJ40" s="281"/>
      <c r="EK40" s="281"/>
      <c r="EL40" s="281"/>
      <c r="EM40" s="281"/>
      <c r="EN40" s="281"/>
      <c r="EO40" s="281"/>
      <c r="EP40" s="281"/>
      <c r="EQ40" s="281"/>
      <c r="ER40" s="281"/>
      <c r="ES40" s="281"/>
      <c r="ET40" s="281"/>
      <c r="EU40" s="281"/>
      <c r="EV40" s="281"/>
      <c r="EW40" s="281"/>
      <c r="EX40" s="281"/>
      <c r="EY40" s="281"/>
      <c r="EZ40" s="281"/>
      <c r="FA40" s="281"/>
      <c r="FB40" s="281"/>
      <c r="FC40" s="281"/>
      <c r="FD40" s="281"/>
      <c r="FE40" s="281"/>
      <c r="FF40" s="281"/>
      <c r="FG40" s="281"/>
      <c r="FH40" s="281"/>
      <c r="FI40" s="281"/>
      <c r="FJ40" s="281"/>
      <c r="FK40" s="281"/>
      <c r="FL40" s="281"/>
      <c r="FM40" s="281"/>
      <c r="FN40" s="281"/>
      <c r="FO40" s="281"/>
      <c r="FP40" s="281"/>
      <c r="FQ40" s="281"/>
      <c r="FR40" s="281"/>
      <c r="FS40" s="281"/>
      <c r="FT40" s="281"/>
      <c r="FU40" s="281"/>
      <c r="FV40" s="281"/>
      <c r="FW40" s="281"/>
      <c r="FX40" s="281"/>
      <c r="FY40" s="281"/>
      <c r="FZ40" s="281"/>
      <c r="GA40" s="281"/>
      <c r="GB40" s="281"/>
      <c r="GC40" s="281"/>
      <c r="GD40" s="281"/>
      <c r="GE40" s="281"/>
      <c r="GF40" s="281"/>
      <c r="GG40" s="281"/>
      <c r="GH40" s="281"/>
      <c r="GI40" s="281"/>
      <c r="GJ40" s="281"/>
      <c r="GK40" s="281"/>
      <c r="GL40" s="281"/>
      <c r="GM40" s="281"/>
      <c r="GN40" s="281"/>
      <c r="GO40" s="281"/>
      <c r="GP40" s="281"/>
      <c r="GQ40" s="281"/>
      <c r="GR40" s="281"/>
      <c r="GS40" s="281"/>
      <c r="GT40" s="281"/>
      <c r="GU40" s="281"/>
      <c r="GV40" s="281"/>
      <c r="GW40" s="281"/>
      <c r="GX40" s="281"/>
      <c r="GY40" s="281"/>
      <c r="GZ40" s="281"/>
      <c r="HA40" s="281"/>
      <c r="HB40" s="281"/>
      <c r="HC40" s="281"/>
      <c r="HD40" s="281"/>
      <c r="HE40" s="281"/>
      <c r="HF40" s="281"/>
      <c r="HG40" s="281"/>
      <c r="HH40" s="281"/>
      <c r="HI40" s="281"/>
      <c r="HJ40" s="281"/>
      <c r="HK40" s="281"/>
      <c r="HL40" s="281"/>
      <c r="HM40" s="281"/>
      <c r="HN40" s="281"/>
      <c r="HO40" s="281"/>
      <c r="HP40" s="281"/>
      <c r="HQ40" s="281"/>
      <c r="HR40" s="281"/>
      <c r="HS40" s="281"/>
      <c r="HT40" s="281"/>
      <c r="HU40" s="281"/>
      <c r="HV40" s="281"/>
      <c r="HW40" s="281"/>
      <c r="HX40" s="281"/>
      <c r="HY40" s="281"/>
      <c r="HZ40" s="281"/>
      <c r="IA40" s="281"/>
      <c r="IB40" s="281"/>
      <c r="IC40" s="281"/>
      <c r="ID40" s="281"/>
      <c r="IE40" s="281"/>
      <c r="IF40" s="281"/>
      <c r="IG40" s="281"/>
      <c r="IH40" s="281"/>
      <c r="II40" s="281"/>
      <c r="IJ40" s="281"/>
      <c r="IK40" s="281"/>
      <c r="IL40" s="281"/>
      <c r="IM40" s="281"/>
      <c r="IN40" s="281"/>
      <c r="IO40" s="281"/>
      <c r="IP40" s="282"/>
    </row>
    <row r="41" spans="1:250" ht="23" customHeight="1" x14ac:dyDescent="0.15">
      <c r="A41" s="283"/>
      <c r="B41" s="284"/>
      <c r="C41" s="16" t="s">
        <v>23</v>
      </c>
      <c r="D41" s="2556">
        <v>34.112067215048</v>
      </c>
      <c r="E41" s="434">
        <f>90-((D41*90)/100)</f>
        <v>59.299139506456797</v>
      </c>
      <c r="F41" s="616">
        <v>8</v>
      </c>
      <c r="G41" s="174"/>
      <c r="H41" s="332" t="s">
        <v>9</v>
      </c>
      <c r="I41" s="2035">
        <v>30.19705514185199</v>
      </c>
      <c r="J41" s="586">
        <f>80-((I41*80)/100)</f>
        <v>55.842355886518405</v>
      </c>
      <c r="K41" s="589">
        <v>8</v>
      </c>
      <c r="L41" s="656"/>
      <c r="M41" s="304" t="s">
        <v>14</v>
      </c>
      <c r="N41" s="520">
        <f>'H TGE'!H18</f>
        <v>7.7577368739193702</v>
      </c>
      <c r="O41" s="365">
        <f>'H TGE'!H19</f>
        <v>0.12865566953826998</v>
      </c>
      <c r="P41" s="603">
        <v>8</v>
      </c>
      <c r="Q41" s="656"/>
      <c r="R41" s="335" t="s">
        <v>17</v>
      </c>
      <c r="S41" s="531">
        <f>'H TGE'!K21</f>
        <v>1</v>
      </c>
      <c r="T41" s="531">
        <f>'H TGE'!K22</f>
        <v>0</v>
      </c>
      <c r="U41" s="531">
        <f>'H TGE'!K23</f>
        <v>0</v>
      </c>
      <c r="V41" s="531">
        <f>'H TGE'!K24</f>
        <v>0</v>
      </c>
      <c r="W41" s="531">
        <f>'H TGE'!K25</f>
        <v>0</v>
      </c>
      <c r="X41" s="531">
        <f>'H TGE'!K26</f>
        <v>0</v>
      </c>
      <c r="Y41" s="531">
        <f>'H TGE'!K27</f>
        <v>0</v>
      </c>
      <c r="Z41" s="401">
        <f>'H TGE'!K29</f>
        <v>8</v>
      </c>
      <c r="AA41" s="452"/>
      <c r="AB41" s="335" t="s">
        <v>17</v>
      </c>
      <c r="AC41" s="400">
        <f>'H TGE'!K7</f>
        <v>1.9916770874033318E-2</v>
      </c>
      <c r="AD41" s="400">
        <f>'H TGE'!K8</f>
        <v>5.2002012725935556</v>
      </c>
      <c r="AE41" s="401">
        <v>8</v>
      </c>
      <c r="AF41" s="1737"/>
      <c r="AG41" s="1740"/>
      <c r="AH41" s="1777">
        <v>8</v>
      </c>
      <c r="AI41" s="537" t="s">
        <v>16</v>
      </c>
      <c r="AJ41" s="538">
        <v>37</v>
      </c>
      <c r="AK41" s="1778">
        <f t="shared" si="3"/>
        <v>7.4</v>
      </c>
      <c r="AL41" s="1740"/>
      <c r="AM41" s="510"/>
      <c r="AN41" s="1781">
        <v>8</v>
      </c>
      <c r="AO41" s="1782" t="s">
        <v>9</v>
      </c>
      <c r="AP41" s="1784">
        <v>5.4</v>
      </c>
      <c r="AQ41" s="1784">
        <v>6</v>
      </c>
      <c r="AR41" s="1784">
        <v>8</v>
      </c>
      <c r="AS41" s="1784">
        <v>5.8</v>
      </c>
      <c r="AT41" s="1785">
        <f t="shared" si="4"/>
        <v>6.3000000000000007</v>
      </c>
      <c r="AU41" s="662"/>
      <c r="AV41" s="519"/>
      <c r="AW41" s="634"/>
      <c r="AX41" s="634"/>
      <c r="AY41" s="611"/>
      <c r="AZ41" s="583"/>
      <c r="BA41" s="663" t="s">
        <v>183</v>
      </c>
      <c r="BB41" s="664" t="s">
        <v>184</v>
      </c>
      <c r="BC41" s="665"/>
      <c r="BD41" s="666"/>
      <c r="BE41" s="667" t="s">
        <v>185</v>
      </c>
      <c r="BF41" s="281"/>
      <c r="BG41" s="281"/>
      <c r="BH41" s="281"/>
      <c r="BI41" s="281"/>
      <c r="BJ41" s="281"/>
      <c r="BK41" s="281"/>
      <c r="BL41" s="281"/>
      <c r="BM41" s="281"/>
      <c r="BN41" s="281"/>
      <c r="BO41" s="281"/>
      <c r="BP41" s="281"/>
      <c r="BQ41" s="281"/>
      <c r="BR41" s="281"/>
      <c r="BS41" s="281"/>
      <c r="BT41" s="281"/>
      <c r="BU41" s="281"/>
      <c r="BV41" s="281"/>
      <c r="BW41" s="281"/>
      <c r="BX41" s="281"/>
      <c r="BY41" s="281"/>
      <c r="BZ41" s="281"/>
      <c r="CA41" s="281"/>
      <c r="CB41" s="281"/>
      <c r="CC41" s="281"/>
      <c r="CD41" s="281"/>
      <c r="CE41" s="281"/>
      <c r="CF41" s="281"/>
      <c r="CG41" s="281"/>
      <c r="CH41" s="281"/>
      <c r="CI41" s="281"/>
      <c r="CJ41" s="281"/>
      <c r="CK41" s="281"/>
      <c r="CL41" s="281"/>
      <c r="CM41" s="281"/>
      <c r="CN41" s="281"/>
      <c r="CO41" s="281"/>
      <c r="CP41" s="281"/>
      <c r="CQ41" s="281"/>
      <c r="CR41" s="281"/>
      <c r="CS41" s="281"/>
      <c r="CT41" s="281"/>
      <c r="CU41" s="281"/>
      <c r="CV41" s="281"/>
      <c r="CW41" s="281"/>
      <c r="CX41" s="281"/>
      <c r="CY41" s="281"/>
      <c r="CZ41" s="281"/>
      <c r="DA41" s="281"/>
      <c r="DB41" s="281"/>
      <c r="DC41" s="281"/>
      <c r="DD41" s="281"/>
      <c r="DE41" s="281"/>
      <c r="DF41" s="281"/>
      <c r="DG41" s="281"/>
      <c r="DH41" s="281"/>
      <c r="DI41" s="281"/>
      <c r="DJ41" s="281"/>
      <c r="DK41" s="281"/>
      <c r="DL41" s="281"/>
      <c r="DM41" s="281"/>
      <c r="DN41" s="281"/>
      <c r="DO41" s="281"/>
      <c r="DP41" s="281"/>
      <c r="DQ41" s="281"/>
      <c r="DR41" s="281"/>
      <c r="DS41" s="281"/>
      <c r="DT41" s="281"/>
      <c r="DU41" s="281"/>
      <c r="DV41" s="281"/>
      <c r="DW41" s="281"/>
      <c r="DX41" s="281"/>
      <c r="DY41" s="281"/>
      <c r="DZ41" s="281"/>
      <c r="EA41" s="281"/>
      <c r="EB41" s="281"/>
      <c r="EC41" s="281"/>
      <c r="ED41" s="281"/>
      <c r="EE41" s="281"/>
      <c r="EF41" s="281"/>
      <c r="EG41" s="281"/>
      <c r="EH41" s="281"/>
      <c r="EI41" s="281"/>
      <c r="EJ41" s="281"/>
      <c r="EK41" s="281"/>
      <c r="EL41" s="281"/>
      <c r="EM41" s="281"/>
      <c r="EN41" s="281"/>
      <c r="EO41" s="281"/>
      <c r="EP41" s="281"/>
      <c r="EQ41" s="281"/>
      <c r="ER41" s="281"/>
      <c r="ES41" s="281"/>
      <c r="ET41" s="281"/>
      <c r="EU41" s="281"/>
      <c r="EV41" s="281"/>
      <c r="EW41" s="281"/>
      <c r="EX41" s="281"/>
      <c r="EY41" s="281"/>
      <c r="EZ41" s="281"/>
      <c r="FA41" s="281"/>
      <c r="FB41" s="281"/>
      <c r="FC41" s="281"/>
      <c r="FD41" s="281"/>
      <c r="FE41" s="281"/>
      <c r="FF41" s="281"/>
      <c r="FG41" s="281"/>
      <c r="FH41" s="281"/>
      <c r="FI41" s="281"/>
      <c r="FJ41" s="281"/>
      <c r="FK41" s="281"/>
      <c r="FL41" s="281"/>
      <c r="FM41" s="281"/>
      <c r="FN41" s="281"/>
      <c r="FO41" s="281"/>
      <c r="FP41" s="281"/>
      <c r="FQ41" s="281"/>
      <c r="FR41" s="281"/>
      <c r="FS41" s="281"/>
      <c r="FT41" s="281"/>
      <c r="FU41" s="281"/>
      <c r="FV41" s="281"/>
      <c r="FW41" s="281"/>
      <c r="FX41" s="281"/>
      <c r="FY41" s="281"/>
      <c r="FZ41" s="281"/>
      <c r="GA41" s="281"/>
      <c r="GB41" s="281"/>
      <c r="GC41" s="281"/>
      <c r="GD41" s="281"/>
      <c r="GE41" s="281"/>
      <c r="GF41" s="281"/>
      <c r="GG41" s="281"/>
      <c r="GH41" s="281"/>
      <c r="GI41" s="281"/>
      <c r="GJ41" s="281"/>
      <c r="GK41" s="281"/>
      <c r="GL41" s="281"/>
      <c r="GM41" s="281"/>
      <c r="GN41" s="281"/>
      <c r="GO41" s="281"/>
      <c r="GP41" s="281"/>
      <c r="GQ41" s="281"/>
      <c r="GR41" s="281"/>
      <c r="GS41" s="281"/>
      <c r="GT41" s="281"/>
      <c r="GU41" s="281"/>
      <c r="GV41" s="281"/>
      <c r="GW41" s="281"/>
      <c r="GX41" s="281"/>
      <c r="GY41" s="281"/>
      <c r="GZ41" s="281"/>
      <c r="HA41" s="281"/>
      <c r="HB41" s="281"/>
      <c r="HC41" s="281"/>
      <c r="HD41" s="281"/>
      <c r="HE41" s="281"/>
      <c r="HF41" s="281"/>
      <c r="HG41" s="281"/>
      <c r="HH41" s="281"/>
      <c r="HI41" s="281"/>
      <c r="HJ41" s="281"/>
      <c r="HK41" s="281"/>
      <c r="HL41" s="281"/>
      <c r="HM41" s="281"/>
      <c r="HN41" s="281"/>
      <c r="HO41" s="281"/>
      <c r="HP41" s="281"/>
      <c r="HQ41" s="281"/>
      <c r="HR41" s="281"/>
      <c r="HS41" s="281"/>
      <c r="HT41" s="281"/>
      <c r="HU41" s="281"/>
      <c r="HV41" s="281"/>
      <c r="HW41" s="281"/>
      <c r="HX41" s="281"/>
      <c r="HY41" s="281"/>
      <c r="HZ41" s="281"/>
      <c r="IA41" s="281"/>
      <c r="IB41" s="281"/>
      <c r="IC41" s="281"/>
      <c r="ID41" s="281"/>
      <c r="IE41" s="281"/>
      <c r="IF41" s="281"/>
      <c r="IG41" s="281"/>
      <c r="IH41" s="281"/>
      <c r="II41" s="281"/>
      <c r="IJ41" s="281"/>
      <c r="IK41" s="281"/>
      <c r="IL41" s="281"/>
      <c r="IM41" s="281"/>
      <c r="IN41" s="281"/>
      <c r="IO41" s="281"/>
      <c r="IP41" s="282"/>
    </row>
    <row r="42" spans="1:250" ht="23" customHeight="1" x14ac:dyDescent="0.15">
      <c r="A42" s="283"/>
      <c r="B42" s="284"/>
      <c r="C42" s="332" t="s">
        <v>9</v>
      </c>
      <c r="D42" s="2038">
        <v>46.994431704892008</v>
      </c>
      <c r="E42" s="586">
        <f>85-((D42*85)/100)</f>
        <v>45.05473305084179</v>
      </c>
      <c r="F42" s="589">
        <v>9</v>
      </c>
      <c r="G42" s="174"/>
      <c r="H42" s="413" t="s">
        <v>16</v>
      </c>
      <c r="I42" s="2036">
        <v>44.245180109621003</v>
      </c>
      <c r="J42" s="438">
        <f>100-((I42*100)/100)</f>
        <v>55.754819890378997</v>
      </c>
      <c r="K42" s="629">
        <v>9</v>
      </c>
      <c r="L42" s="668"/>
      <c r="M42" s="11" t="s">
        <v>13</v>
      </c>
      <c r="N42" s="22">
        <f>'H TGE'!G18</f>
        <v>1.8323977126137002E-2</v>
      </c>
      <c r="O42" s="502">
        <f>'H TGE'!G19</f>
        <v>4.2966305407365624E-2</v>
      </c>
      <c r="P42" s="503">
        <v>9</v>
      </c>
      <c r="Q42" s="668"/>
      <c r="R42" s="332" t="s">
        <v>9</v>
      </c>
      <c r="S42" s="580">
        <f>'H TGE'!C21</f>
        <v>0</v>
      </c>
      <c r="T42" s="580">
        <f>'H TGE'!C22</f>
        <v>0</v>
      </c>
      <c r="U42" s="580">
        <f>'H TGE'!C23</f>
        <v>2</v>
      </c>
      <c r="V42" s="580">
        <f>'H TGE'!C24</f>
        <v>2</v>
      </c>
      <c r="W42" s="580">
        <f>'H TGE'!C25</f>
        <v>0</v>
      </c>
      <c r="X42" s="580">
        <f>'H TGE'!C26</f>
        <v>0</v>
      </c>
      <c r="Y42" s="580">
        <f>'H TGE'!C27</f>
        <v>0</v>
      </c>
      <c r="Z42" s="604">
        <f>'H TGE'!C29</f>
        <v>9</v>
      </c>
      <c r="AA42" s="670"/>
      <c r="AB42" s="413" t="s">
        <v>16</v>
      </c>
      <c r="AC42" s="438">
        <f>'H TGE'!J7</f>
        <v>3.2356699332012795E-2</v>
      </c>
      <c r="AD42" s="438">
        <f>'H TGE'!J8</f>
        <v>5.1116428644569982</v>
      </c>
      <c r="AE42" s="530">
        <v>9</v>
      </c>
      <c r="AF42" s="922"/>
      <c r="AG42" s="790"/>
      <c r="AH42" s="1748">
        <v>9</v>
      </c>
      <c r="AI42" s="372" t="s">
        <v>15</v>
      </c>
      <c r="AJ42" s="507">
        <v>39</v>
      </c>
      <c r="AK42" s="1763">
        <f t="shared" si="3"/>
        <v>7.8</v>
      </c>
      <c r="AL42" s="790"/>
      <c r="AM42" s="540"/>
      <c r="AN42" s="671">
        <v>9</v>
      </c>
      <c r="AO42" s="672" t="s">
        <v>16</v>
      </c>
      <c r="AP42" s="673">
        <v>5.4</v>
      </c>
      <c r="AQ42" s="673">
        <v>7.2</v>
      </c>
      <c r="AR42" s="673">
        <v>7.4</v>
      </c>
      <c r="AS42" s="673">
        <v>7.6</v>
      </c>
      <c r="AT42" s="674">
        <f t="shared" si="4"/>
        <v>6.9</v>
      </c>
      <c r="AU42" s="675"/>
      <c r="AV42" s="676"/>
      <c r="AW42" s="634"/>
      <c r="AX42" s="634"/>
      <c r="AY42" s="611"/>
      <c r="AZ42" s="583"/>
      <c r="BA42" s="677" t="s">
        <v>186</v>
      </c>
      <c r="BB42" s="678" t="s">
        <v>40</v>
      </c>
      <c r="BC42" s="434"/>
      <c r="BD42" s="679"/>
      <c r="BE42" s="301"/>
      <c r="BF42" s="281"/>
      <c r="BG42" s="281"/>
      <c r="BH42" s="281"/>
      <c r="BI42" s="281"/>
      <c r="BJ42" s="281"/>
      <c r="BK42" s="281"/>
      <c r="BL42" s="281"/>
      <c r="BM42" s="281"/>
      <c r="BN42" s="281"/>
      <c r="BO42" s="281"/>
      <c r="BP42" s="281"/>
      <c r="BQ42" s="281"/>
      <c r="BR42" s="281"/>
      <c r="BS42" s="281"/>
      <c r="BT42" s="281"/>
      <c r="BU42" s="281"/>
      <c r="BV42" s="281"/>
      <c r="BW42" s="281"/>
      <c r="BX42" s="281"/>
      <c r="BY42" s="281"/>
      <c r="BZ42" s="281"/>
      <c r="CA42" s="281"/>
      <c r="CB42" s="281"/>
      <c r="CC42" s="281"/>
      <c r="CD42" s="281"/>
      <c r="CE42" s="281"/>
      <c r="CF42" s="281"/>
      <c r="CG42" s="281"/>
      <c r="CH42" s="281"/>
      <c r="CI42" s="281"/>
      <c r="CJ42" s="281"/>
      <c r="CK42" s="281"/>
      <c r="CL42" s="281"/>
      <c r="CM42" s="281"/>
      <c r="CN42" s="281"/>
      <c r="CO42" s="281"/>
      <c r="CP42" s="281"/>
      <c r="CQ42" s="281"/>
      <c r="CR42" s="281"/>
      <c r="CS42" s="281"/>
      <c r="CT42" s="281"/>
      <c r="CU42" s="281"/>
      <c r="CV42" s="281"/>
      <c r="CW42" s="281"/>
      <c r="CX42" s="281"/>
      <c r="CY42" s="281"/>
      <c r="CZ42" s="281"/>
      <c r="DA42" s="281"/>
      <c r="DB42" s="281"/>
      <c r="DC42" s="281"/>
      <c r="DD42" s="281"/>
      <c r="DE42" s="281"/>
      <c r="DF42" s="281"/>
      <c r="DG42" s="281"/>
      <c r="DH42" s="281"/>
      <c r="DI42" s="281"/>
      <c r="DJ42" s="281"/>
      <c r="DK42" s="281"/>
      <c r="DL42" s="281"/>
      <c r="DM42" s="281"/>
      <c r="DN42" s="281"/>
      <c r="DO42" s="281"/>
      <c r="DP42" s="281"/>
      <c r="DQ42" s="281"/>
      <c r="DR42" s="281"/>
      <c r="DS42" s="281"/>
      <c r="DT42" s="281"/>
      <c r="DU42" s="281"/>
      <c r="DV42" s="281"/>
      <c r="DW42" s="281"/>
      <c r="DX42" s="281"/>
      <c r="DY42" s="281"/>
      <c r="DZ42" s="281"/>
      <c r="EA42" s="281"/>
      <c r="EB42" s="281"/>
      <c r="EC42" s="281"/>
      <c r="ED42" s="281"/>
      <c r="EE42" s="281"/>
      <c r="EF42" s="281"/>
      <c r="EG42" s="281"/>
      <c r="EH42" s="281"/>
      <c r="EI42" s="281"/>
      <c r="EJ42" s="281"/>
      <c r="EK42" s="281"/>
      <c r="EL42" s="281"/>
      <c r="EM42" s="281"/>
      <c r="EN42" s="281"/>
      <c r="EO42" s="281"/>
      <c r="EP42" s="281"/>
      <c r="EQ42" s="281"/>
      <c r="ER42" s="281"/>
      <c r="ES42" s="281"/>
      <c r="ET42" s="281"/>
      <c r="EU42" s="281"/>
      <c r="EV42" s="281"/>
      <c r="EW42" s="281"/>
      <c r="EX42" s="281"/>
      <c r="EY42" s="281"/>
      <c r="EZ42" s="281"/>
      <c r="FA42" s="281"/>
      <c r="FB42" s="281"/>
      <c r="FC42" s="281"/>
      <c r="FD42" s="281"/>
      <c r="FE42" s="281"/>
      <c r="FF42" s="281"/>
      <c r="FG42" s="281"/>
      <c r="FH42" s="281"/>
      <c r="FI42" s="281"/>
      <c r="FJ42" s="281"/>
      <c r="FK42" s="281"/>
      <c r="FL42" s="281"/>
      <c r="FM42" s="281"/>
      <c r="FN42" s="281"/>
      <c r="FO42" s="281"/>
      <c r="FP42" s="281"/>
      <c r="FQ42" s="281"/>
      <c r="FR42" s="281"/>
      <c r="FS42" s="281"/>
      <c r="FT42" s="281"/>
      <c r="FU42" s="281"/>
      <c r="FV42" s="281"/>
      <c r="FW42" s="281"/>
      <c r="FX42" s="281"/>
      <c r="FY42" s="281"/>
      <c r="FZ42" s="281"/>
      <c r="GA42" s="281"/>
      <c r="GB42" s="281"/>
      <c r="GC42" s="281"/>
      <c r="GD42" s="281"/>
      <c r="GE42" s="281"/>
      <c r="GF42" s="281"/>
      <c r="GG42" s="281"/>
      <c r="GH42" s="281"/>
      <c r="GI42" s="281"/>
      <c r="GJ42" s="281"/>
      <c r="GK42" s="281"/>
      <c r="GL42" s="281"/>
      <c r="GM42" s="281"/>
      <c r="GN42" s="281"/>
      <c r="GO42" s="281"/>
      <c r="GP42" s="281"/>
      <c r="GQ42" s="281"/>
      <c r="GR42" s="281"/>
      <c r="GS42" s="281"/>
      <c r="GT42" s="281"/>
      <c r="GU42" s="281"/>
      <c r="GV42" s="281"/>
      <c r="GW42" s="281"/>
      <c r="GX42" s="281"/>
      <c r="GY42" s="281"/>
      <c r="GZ42" s="281"/>
      <c r="HA42" s="281"/>
      <c r="HB42" s="281"/>
      <c r="HC42" s="281"/>
      <c r="HD42" s="281"/>
      <c r="HE42" s="281"/>
      <c r="HF42" s="281"/>
      <c r="HG42" s="281"/>
      <c r="HH42" s="281"/>
      <c r="HI42" s="281"/>
      <c r="HJ42" s="281"/>
      <c r="HK42" s="281"/>
      <c r="HL42" s="281"/>
      <c r="HM42" s="281"/>
      <c r="HN42" s="281"/>
      <c r="HO42" s="281"/>
      <c r="HP42" s="281"/>
      <c r="HQ42" s="281"/>
      <c r="HR42" s="281"/>
      <c r="HS42" s="281"/>
      <c r="HT42" s="281"/>
      <c r="HU42" s="281"/>
      <c r="HV42" s="281"/>
      <c r="HW42" s="281"/>
      <c r="HX42" s="281"/>
      <c r="HY42" s="281"/>
      <c r="HZ42" s="281"/>
      <c r="IA42" s="281"/>
      <c r="IB42" s="281"/>
      <c r="IC42" s="281"/>
      <c r="ID42" s="281"/>
      <c r="IE42" s="281"/>
      <c r="IF42" s="281"/>
      <c r="IG42" s="281"/>
      <c r="IH42" s="281"/>
      <c r="II42" s="281"/>
      <c r="IJ42" s="281"/>
      <c r="IK42" s="281"/>
      <c r="IL42" s="281"/>
      <c r="IM42" s="281"/>
      <c r="IN42" s="281"/>
      <c r="IO42" s="281"/>
      <c r="IP42" s="282"/>
    </row>
    <row r="43" spans="1:250" ht="21" customHeight="1" x14ac:dyDescent="0.15">
      <c r="A43" s="283"/>
      <c r="B43" s="284"/>
      <c r="C43" s="556" t="s">
        <v>15</v>
      </c>
      <c r="D43" s="2039">
        <v>46.167896111695029</v>
      </c>
      <c r="E43" s="557">
        <f>80-((D43*80)/100)</f>
        <v>43.065683110643974</v>
      </c>
      <c r="F43" s="1630">
        <v>10</v>
      </c>
      <c r="G43" s="174"/>
      <c r="H43" s="2574" t="s">
        <v>17</v>
      </c>
      <c r="I43" s="2575">
        <v>44.383398972809971</v>
      </c>
      <c r="J43" s="2576">
        <f>85-((I43*85)/100)</f>
        <v>47.274110873111525</v>
      </c>
      <c r="K43" s="2577">
        <v>10</v>
      </c>
      <c r="L43" s="680"/>
      <c r="M43" s="480" t="s">
        <v>11</v>
      </c>
      <c r="N43" s="2568">
        <f>'H TGE'!E18</f>
        <v>0.3194887721476517</v>
      </c>
      <c r="O43" s="1613">
        <f>'H TGE'!E19</f>
        <v>4.2188101575547046E-2</v>
      </c>
      <c r="P43" s="1614">
        <v>10</v>
      </c>
      <c r="Q43" s="680"/>
      <c r="R43" s="556" t="s">
        <v>15</v>
      </c>
      <c r="S43" s="2569">
        <f>'H TGE'!I21</f>
        <v>0</v>
      </c>
      <c r="T43" s="2569">
        <f>'H TGE'!I22</f>
        <v>0</v>
      </c>
      <c r="U43" s="2569">
        <f>'H TGE'!I23</f>
        <v>2</v>
      </c>
      <c r="V43" s="2569">
        <f>'H TGE'!I24</f>
        <v>2</v>
      </c>
      <c r="W43" s="2569">
        <f>'H TGE'!I25</f>
        <v>0</v>
      </c>
      <c r="X43" s="2569">
        <f>'H TGE'!I26</f>
        <v>0</v>
      </c>
      <c r="Y43" s="2569">
        <f>'H TGE'!I27</f>
        <v>0</v>
      </c>
      <c r="Z43" s="2570">
        <f>'H TGE'!I29</f>
        <v>10</v>
      </c>
      <c r="AA43" s="681"/>
      <c r="AB43" s="556" t="s">
        <v>15</v>
      </c>
      <c r="AC43" s="557">
        <f>'H TGE'!I7</f>
        <v>1.5150953477984785E-2</v>
      </c>
      <c r="AD43" s="557">
        <f>'H TGE'!I8</f>
        <v>1.1504140833701431</v>
      </c>
      <c r="AE43" s="2570">
        <v>10</v>
      </c>
      <c r="AF43" s="1738"/>
      <c r="AG43" s="726"/>
      <c r="AH43" s="2578">
        <v>10</v>
      </c>
      <c r="AI43" s="2579" t="s">
        <v>9</v>
      </c>
      <c r="AJ43" s="2580">
        <v>40</v>
      </c>
      <c r="AK43" s="2581">
        <f t="shared" si="3"/>
        <v>8</v>
      </c>
      <c r="AL43" s="726"/>
      <c r="AM43" s="501"/>
      <c r="AN43" s="2685">
        <v>10</v>
      </c>
      <c r="AO43" s="2687" t="s">
        <v>15</v>
      </c>
      <c r="AP43" s="2691">
        <v>6.8</v>
      </c>
      <c r="AQ43" s="2691">
        <v>7.2</v>
      </c>
      <c r="AR43" s="2691">
        <v>7.8</v>
      </c>
      <c r="AS43" s="2691">
        <v>8</v>
      </c>
      <c r="AT43" s="2695">
        <f t="shared" si="4"/>
        <v>7.45</v>
      </c>
      <c r="AU43" s="682"/>
      <c r="AV43" s="683"/>
      <c r="AW43" s="684"/>
      <c r="AX43" s="685"/>
      <c r="AY43" s="686"/>
      <c r="AZ43" s="583"/>
      <c r="BA43" s="687"/>
      <c r="BB43" s="280"/>
      <c r="BC43" s="280"/>
      <c r="BD43" s="688"/>
      <c r="BE43" s="301"/>
      <c r="BF43" s="281"/>
      <c r="BG43" s="281"/>
      <c r="BH43" s="281"/>
      <c r="BI43" s="281"/>
      <c r="BJ43" s="281"/>
      <c r="BK43" s="281"/>
      <c r="BL43" s="281"/>
      <c r="BM43" s="281"/>
      <c r="BN43" s="281"/>
      <c r="BO43" s="281"/>
      <c r="BP43" s="281"/>
      <c r="BQ43" s="281"/>
      <c r="BR43" s="281"/>
      <c r="BS43" s="281"/>
      <c r="BT43" s="281"/>
      <c r="BU43" s="281"/>
      <c r="BV43" s="281"/>
      <c r="BW43" s="281"/>
      <c r="BX43" s="281"/>
      <c r="BY43" s="281"/>
      <c r="BZ43" s="281"/>
      <c r="CA43" s="281"/>
      <c r="CB43" s="281"/>
      <c r="CC43" s="281"/>
      <c r="CD43" s="281"/>
      <c r="CE43" s="281"/>
      <c r="CF43" s="281"/>
      <c r="CG43" s="281"/>
      <c r="CH43" s="281"/>
      <c r="CI43" s="281"/>
      <c r="CJ43" s="281"/>
      <c r="CK43" s="281"/>
      <c r="CL43" s="281"/>
      <c r="CM43" s="281"/>
      <c r="CN43" s="281"/>
      <c r="CO43" s="281"/>
      <c r="CP43" s="281"/>
      <c r="CQ43" s="281"/>
      <c r="CR43" s="281"/>
      <c r="CS43" s="281"/>
      <c r="CT43" s="281"/>
      <c r="CU43" s="281"/>
      <c r="CV43" s="281"/>
      <c r="CW43" s="281"/>
      <c r="CX43" s="281"/>
      <c r="CY43" s="281"/>
      <c r="CZ43" s="281"/>
      <c r="DA43" s="281"/>
      <c r="DB43" s="281"/>
      <c r="DC43" s="281"/>
      <c r="DD43" s="281"/>
      <c r="DE43" s="281"/>
      <c r="DF43" s="281"/>
      <c r="DG43" s="281"/>
      <c r="DH43" s="281"/>
      <c r="DI43" s="281"/>
      <c r="DJ43" s="281"/>
      <c r="DK43" s="281"/>
      <c r="DL43" s="281"/>
      <c r="DM43" s="281"/>
      <c r="DN43" s="281"/>
      <c r="DO43" s="281"/>
      <c r="DP43" s="281"/>
      <c r="DQ43" s="281"/>
      <c r="DR43" s="281"/>
      <c r="DS43" s="281"/>
      <c r="DT43" s="281"/>
      <c r="DU43" s="281"/>
      <c r="DV43" s="281"/>
      <c r="DW43" s="281"/>
      <c r="DX43" s="281"/>
      <c r="DY43" s="281"/>
      <c r="DZ43" s="281"/>
      <c r="EA43" s="281"/>
      <c r="EB43" s="281"/>
      <c r="EC43" s="281"/>
      <c r="ED43" s="281"/>
      <c r="EE43" s="281"/>
      <c r="EF43" s="281"/>
      <c r="EG43" s="281"/>
      <c r="EH43" s="281"/>
      <c r="EI43" s="281"/>
      <c r="EJ43" s="281"/>
      <c r="EK43" s="281"/>
      <c r="EL43" s="281"/>
      <c r="EM43" s="281"/>
      <c r="EN43" s="281"/>
      <c r="EO43" s="281"/>
      <c r="EP43" s="281"/>
      <c r="EQ43" s="281"/>
      <c r="ER43" s="281"/>
      <c r="ES43" s="281"/>
      <c r="ET43" s="281"/>
      <c r="EU43" s="281"/>
      <c r="EV43" s="281"/>
      <c r="EW43" s="281"/>
      <c r="EX43" s="281"/>
      <c r="EY43" s="281"/>
      <c r="EZ43" s="281"/>
      <c r="FA43" s="281"/>
      <c r="FB43" s="281"/>
      <c r="FC43" s="281"/>
      <c r="FD43" s="281"/>
      <c r="FE43" s="281"/>
      <c r="FF43" s="281"/>
      <c r="FG43" s="281"/>
      <c r="FH43" s="281"/>
      <c r="FI43" s="281"/>
      <c r="FJ43" s="281"/>
      <c r="FK43" s="281"/>
      <c r="FL43" s="281"/>
      <c r="FM43" s="281"/>
      <c r="FN43" s="281"/>
      <c r="FO43" s="281"/>
      <c r="FP43" s="281"/>
      <c r="FQ43" s="281"/>
      <c r="FR43" s="281"/>
      <c r="FS43" s="281"/>
      <c r="FT43" s="281"/>
      <c r="FU43" s="281"/>
      <c r="FV43" s="281"/>
      <c r="FW43" s="281"/>
      <c r="FX43" s="281"/>
      <c r="FY43" s="281"/>
      <c r="FZ43" s="281"/>
      <c r="GA43" s="281"/>
      <c r="GB43" s="281"/>
      <c r="GC43" s="281"/>
      <c r="GD43" s="281"/>
      <c r="GE43" s="281"/>
      <c r="GF43" s="281"/>
      <c r="GG43" s="281"/>
      <c r="GH43" s="281"/>
      <c r="GI43" s="281"/>
      <c r="GJ43" s="281"/>
      <c r="GK43" s="281"/>
      <c r="GL43" s="281"/>
      <c r="GM43" s="281"/>
      <c r="GN43" s="281"/>
      <c r="GO43" s="281"/>
      <c r="GP43" s="281"/>
      <c r="GQ43" s="281"/>
      <c r="GR43" s="281"/>
      <c r="GS43" s="281"/>
      <c r="GT43" s="281"/>
      <c r="GU43" s="281"/>
      <c r="GV43" s="281"/>
      <c r="GW43" s="281"/>
      <c r="GX43" s="281"/>
      <c r="GY43" s="281"/>
      <c r="GZ43" s="281"/>
      <c r="HA43" s="281"/>
      <c r="HB43" s="281"/>
      <c r="HC43" s="281"/>
      <c r="HD43" s="281"/>
      <c r="HE43" s="281"/>
      <c r="HF43" s="281"/>
      <c r="HG43" s="281"/>
      <c r="HH43" s="281"/>
      <c r="HI43" s="281"/>
      <c r="HJ43" s="281"/>
      <c r="HK43" s="281"/>
      <c r="HL43" s="281"/>
      <c r="HM43" s="281"/>
      <c r="HN43" s="281"/>
      <c r="HO43" s="281"/>
      <c r="HP43" s="281"/>
      <c r="HQ43" s="281"/>
      <c r="HR43" s="281"/>
      <c r="HS43" s="281"/>
      <c r="HT43" s="281"/>
      <c r="HU43" s="281"/>
      <c r="HV43" s="281"/>
      <c r="HW43" s="281"/>
      <c r="HX43" s="281"/>
      <c r="HY43" s="281"/>
      <c r="HZ43" s="281"/>
      <c r="IA43" s="281"/>
      <c r="IB43" s="281"/>
      <c r="IC43" s="281"/>
      <c r="ID43" s="281"/>
      <c r="IE43" s="281"/>
      <c r="IF43" s="281"/>
      <c r="IG43" s="281"/>
      <c r="IH43" s="281"/>
      <c r="II43" s="281"/>
      <c r="IJ43" s="281"/>
      <c r="IK43" s="281"/>
      <c r="IL43" s="281"/>
      <c r="IM43" s="281"/>
      <c r="IN43" s="281"/>
      <c r="IO43" s="281"/>
      <c r="IP43" s="282"/>
    </row>
    <row r="44" spans="1:250" ht="8" customHeight="1" x14ac:dyDescent="0.15">
      <c r="A44" s="283"/>
      <c r="B44" s="281"/>
      <c r="C44" s="485"/>
      <c r="D44" s="485"/>
      <c r="E44" s="485"/>
      <c r="F44" s="485"/>
      <c r="G44" s="281"/>
      <c r="H44" s="485"/>
      <c r="I44" s="485"/>
      <c r="J44" s="485"/>
      <c r="K44" s="485"/>
      <c r="L44" s="281"/>
      <c r="M44" s="485"/>
      <c r="N44" s="485"/>
      <c r="O44" s="485"/>
      <c r="P44" s="485"/>
      <c r="Q44" s="281"/>
      <c r="R44" s="485"/>
      <c r="S44" s="485"/>
      <c r="T44" s="485"/>
      <c r="U44" s="485"/>
      <c r="V44" s="485"/>
      <c r="W44" s="485"/>
      <c r="X44" s="485"/>
      <c r="Y44" s="485"/>
      <c r="Z44" s="485"/>
      <c r="AA44" s="281"/>
      <c r="AB44" s="485"/>
      <c r="AC44" s="485"/>
      <c r="AD44" s="485"/>
      <c r="AE44" s="485"/>
      <c r="AF44" s="281"/>
      <c r="AG44" s="281"/>
      <c r="AH44" s="281"/>
      <c r="AI44" s="489"/>
      <c r="AJ44" s="281"/>
      <c r="AK44" s="281"/>
      <c r="AL44" s="281"/>
      <c r="AM44" s="281"/>
      <c r="AN44" s="485"/>
      <c r="AO44" s="485"/>
      <c r="AP44" s="485"/>
      <c r="AQ44" s="485"/>
      <c r="AR44" s="485"/>
      <c r="AS44" s="485" t="s">
        <v>185</v>
      </c>
      <c r="AT44" s="485"/>
      <c r="AU44" s="281"/>
      <c r="AV44" s="485"/>
      <c r="AW44" s="485"/>
      <c r="AX44" s="485"/>
      <c r="AY44" s="485"/>
      <c r="AZ44" s="281"/>
      <c r="BA44" s="485"/>
      <c r="BB44" s="485"/>
      <c r="BC44" s="485"/>
      <c r="BD44" s="485"/>
      <c r="BE44" s="281"/>
      <c r="BF44" s="281"/>
      <c r="BG44" s="281"/>
      <c r="BH44" s="281"/>
      <c r="BI44" s="281"/>
      <c r="BJ44" s="281"/>
      <c r="BK44" s="281"/>
      <c r="BL44" s="281"/>
      <c r="BM44" s="281"/>
      <c r="BN44" s="281"/>
      <c r="BO44" s="281"/>
      <c r="BP44" s="281"/>
      <c r="BQ44" s="281"/>
      <c r="BR44" s="281"/>
      <c r="BS44" s="281"/>
      <c r="BT44" s="281"/>
      <c r="BU44" s="281"/>
      <c r="BV44" s="281"/>
      <c r="BW44" s="281"/>
      <c r="BX44" s="281"/>
      <c r="BY44" s="281"/>
      <c r="BZ44" s="281"/>
      <c r="CA44" s="281"/>
      <c r="CB44" s="281"/>
      <c r="CC44" s="281"/>
      <c r="CD44" s="281"/>
      <c r="CE44" s="281"/>
      <c r="CF44" s="281"/>
      <c r="CG44" s="281"/>
      <c r="CH44" s="281"/>
      <c r="CI44" s="281"/>
      <c r="CJ44" s="281"/>
      <c r="CK44" s="281"/>
      <c r="CL44" s="281"/>
      <c r="CM44" s="281"/>
      <c r="CN44" s="281"/>
      <c r="CO44" s="281"/>
      <c r="CP44" s="281"/>
      <c r="CQ44" s="281"/>
      <c r="CR44" s="281"/>
      <c r="CS44" s="281"/>
      <c r="CT44" s="281"/>
      <c r="CU44" s="281"/>
      <c r="CV44" s="281"/>
      <c r="CW44" s="281"/>
      <c r="CX44" s="281"/>
      <c r="CY44" s="281"/>
      <c r="CZ44" s="281"/>
      <c r="DA44" s="281"/>
      <c r="DB44" s="281"/>
      <c r="DC44" s="281"/>
      <c r="DD44" s="281"/>
      <c r="DE44" s="281"/>
      <c r="DF44" s="281"/>
      <c r="DG44" s="281"/>
      <c r="DH44" s="281"/>
      <c r="DI44" s="281"/>
      <c r="DJ44" s="281"/>
      <c r="DK44" s="281"/>
      <c r="DL44" s="281"/>
      <c r="DM44" s="281"/>
      <c r="DN44" s="281"/>
      <c r="DO44" s="281"/>
      <c r="DP44" s="281"/>
      <c r="DQ44" s="281"/>
      <c r="DR44" s="281"/>
      <c r="DS44" s="281"/>
      <c r="DT44" s="281"/>
      <c r="DU44" s="281"/>
      <c r="DV44" s="281"/>
      <c r="DW44" s="281"/>
      <c r="DX44" s="281"/>
      <c r="DY44" s="281"/>
      <c r="DZ44" s="281"/>
      <c r="EA44" s="281"/>
      <c r="EB44" s="281"/>
      <c r="EC44" s="281"/>
      <c r="ED44" s="281"/>
      <c r="EE44" s="281"/>
      <c r="EF44" s="281"/>
      <c r="EG44" s="281"/>
      <c r="EH44" s="281"/>
      <c r="EI44" s="281"/>
      <c r="EJ44" s="281"/>
      <c r="EK44" s="281"/>
      <c r="EL44" s="281"/>
      <c r="EM44" s="281"/>
      <c r="EN44" s="281"/>
      <c r="EO44" s="281"/>
      <c r="EP44" s="281"/>
      <c r="EQ44" s="281"/>
      <c r="ER44" s="281"/>
      <c r="ES44" s="281"/>
      <c r="ET44" s="281"/>
      <c r="EU44" s="281"/>
      <c r="EV44" s="281"/>
      <c r="EW44" s="281"/>
      <c r="EX44" s="281"/>
      <c r="EY44" s="281"/>
      <c r="EZ44" s="281"/>
      <c r="FA44" s="281"/>
      <c r="FB44" s="281"/>
      <c r="FC44" s="281"/>
      <c r="FD44" s="281"/>
      <c r="FE44" s="281"/>
      <c r="FF44" s="281"/>
      <c r="FG44" s="281"/>
      <c r="FH44" s="281"/>
      <c r="FI44" s="281"/>
      <c r="FJ44" s="281"/>
      <c r="FK44" s="281"/>
      <c r="FL44" s="281"/>
      <c r="FM44" s="281"/>
      <c r="FN44" s="281"/>
      <c r="FO44" s="281"/>
      <c r="FP44" s="281"/>
      <c r="FQ44" s="281"/>
      <c r="FR44" s="281"/>
      <c r="FS44" s="281"/>
      <c r="FT44" s="281"/>
      <c r="FU44" s="281"/>
      <c r="FV44" s="281"/>
      <c r="FW44" s="281"/>
      <c r="FX44" s="281"/>
      <c r="FY44" s="281"/>
      <c r="FZ44" s="281"/>
      <c r="GA44" s="281"/>
      <c r="GB44" s="281"/>
      <c r="GC44" s="281"/>
      <c r="GD44" s="281"/>
      <c r="GE44" s="281"/>
      <c r="GF44" s="281"/>
      <c r="GG44" s="281"/>
      <c r="GH44" s="281"/>
      <c r="GI44" s="281"/>
      <c r="GJ44" s="281"/>
      <c r="GK44" s="281"/>
      <c r="GL44" s="281"/>
      <c r="GM44" s="281"/>
      <c r="GN44" s="281"/>
      <c r="GO44" s="281"/>
      <c r="GP44" s="281"/>
      <c r="GQ44" s="281"/>
      <c r="GR44" s="281"/>
      <c r="GS44" s="281"/>
      <c r="GT44" s="281"/>
      <c r="GU44" s="281"/>
      <c r="GV44" s="281"/>
      <c r="GW44" s="281"/>
      <c r="GX44" s="281"/>
      <c r="GY44" s="281"/>
      <c r="GZ44" s="281"/>
      <c r="HA44" s="281"/>
      <c r="HB44" s="281"/>
      <c r="HC44" s="281"/>
      <c r="HD44" s="281"/>
      <c r="HE44" s="281"/>
      <c r="HF44" s="281"/>
      <c r="HG44" s="281"/>
      <c r="HH44" s="281"/>
      <c r="HI44" s="281"/>
      <c r="HJ44" s="281"/>
      <c r="HK44" s="281"/>
      <c r="HL44" s="281"/>
      <c r="HM44" s="281"/>
      <c r="HN44" s="281"/>
      <c r="HO44" s="281"/>
      <c r="HP44" s="281"/>
      <c r="HQ44" s="281"/>
      <c r="HR44" s="281"/>
      <c r="HS44" s="281"/>
      <c r="HT44" s="281"/>
      <c r="HU44" s="281"/>
      <c r="HV44" s="281"/>
      <c r="HW44" s="281"/>
      <c r="HX44" s="281"/>
      <c r="HY44" s="281"/>
      <c r="HZ44" s="281"/>
      <c r="IA44" s="281"/>
      <c r="IB44" s="281"/>
      <c r="IC44" s="281"/>
      <c r="ID44" s="281"/>
      <c r="IE44" s="281"/>
      <c r="IF44" s="281"/>
      <c r="IG44" s="281"/>
      <c r="IH44" s="281"/>
      <c r="II44" s="281"/>
      <c r="IJ44" s="281"/>
      <c r="IK44" s="281"/>
      <c r="IL44" s="281"/>
      <c r="IM44" s="281"/>
      <c r="IN44" s="281"/>
      <c r="IO44" s="281"/>
      <c r="IP44" s="282"/>
    </row>
    <row r="45" spans="1:250" ht="13" customHeight="1" x14ac:dyDescent="0.15">
      <c r="A45" s="283"/>
      <c r="B45" s="281"/>
      <c r="C45" s="2820" t="s">
        <v>407</v>
      </c>
      <c r="D45" s="2821"/>
      <c r="E45" s="2821"/>
      <c r="F45" s="2821"/>
      <c r="G45" s="561"/>
      <c r="H45" s="2810" t="s">
        <v>406</v>
      </c>
      <c r="I45" s="2811"/>
      <c r="J45" s="2811"/>
      <c r="K45" s="2811"/>
      <c r="L45" s="561"/>
      <c r="M45" s="2810" t="s">
        <v>142</v>
      </c>
      <c r="N45" s="2811"/>
      <c r="O45" s="2811"/>
      <c r="P45" s="2811"/>
      <c r="Q45" s="561"/>
      <c r="R45" s="2810" t="s">
        <v>157</v>
      </c>
      <c r="S45" s="2811"/>
      <c r="T45" s="2811"/>
      <c r="U45" s="2811"/>
      <c r="V45" s="2811"/>
      <c r="W45" s="2811"/>
      <c r="X45" s="2811"/>
      <c r="Y45" s="2811"/>
      <c r="Z45" s="2811"/>
      <c r="AA45" s="561"/>
      <c r="AB45" s="2810" t="s">
        <v>142</v>
      </c>
      <c r="AC45" s="2811"/>
      <c r="AD45" s="2811"/>
      <c r="AE45" s="2811"/>
      <c r="AF45" s="561"/>
      <c r="AG45" s="281"/>
      <c r="AH45" s="281"/>
      <c r="AI45" s="489"/>
      <c r="AJ45" s="281"/>
      <c r="AK45" s="281"/>
      <c r="AL45" s="281"/>
      <c r="AM45" s="281"/>
      <c r="AN45" s="281"/>
      <c r="AO45" s="281"/>
      <c r="AP45" s="281"/>
      <c r="AQ45" s="281"/>
      <c r="AR45" s="281"/>
      <c r="AS45" s="281"/>
      <c r="AT45" s="281"/>
      <c r="AU45" s="281"/>
      <c r="AV45" s="281"/>
      <c r="AW45" s="281"/>
      <c r="AX45" s="281"/>
      <c r="AY45" s="281"/>
      <c r="AZ45" s="281"/>
      <c r="BA45" s="281"/>
      <c r="BB45" s="281"/>
      <c r="BC45" s="281"/>
      <c r="BD45" s="281"/>
      <c r="BE45" s="281"/>
      <c r="BF45" s="281"/>
      <c r="BG45" s="281"/>
      <c r="BH45" s="281"/>
      <c r="BI45" s="281"/>
      <c r="BJ45" s="281"/>
      <c r="BK45" s="281"/>
      <c r="BL45" s="281"/>
      <c r="BM45" s="281"/>
      <c r="BN45" s="281"/>
      <c r="BO45" s="281"/>
      <c r="BP45" s="281"/>
      <c r="BQ45" s="281"/>
      <c r="BR45" s="281"/>
      <c r="BS45" s="281"/>
      <c r="BT45" s="281"/>
      <c r="BU45" s="281"/>
      <c r="BV45" s="281"/>
      <c r="BW45" s="281"/>
      <c r="BX45" s="281"/>
      <c r="BY45" s="281"/>
      <c r="BZ45" s="281"/>
      <c r="CA45" s="281"/>
      <c r="CB45" s="281"/>
      <c r="CC45" s="281"/>
      <c r="CD45" s="281"/>
      <c r="CE45" s="281"/>
      <c r="CF45" s="281"/>
      <c r="CG45" s="281"/>
      <c r="CH45" s="281"/>
      <c r="CI45" s="281"/>
      <c r="CJ45" s="281"/>
      <c r="CK45" s="281"/>
      <c r="CL45" s="281"/>
      <c r="CM45" s="281"/>
      <c r="CN45" s="281"/>
      <c r="CO45" s="281"/>
      <c r="CP45" s="281"/>
      <c r="CQ45" s="281"/>
      <c r="CR45" s="281"/>
      <c r="CS45" s="281"/>
      <c r="CT45" s="281"/>
      <c r="CU45" s="281"/>
      <c r="CV45" s="281"/>
      <c r="CW45" s="281"/>
      <c r="CX45" s="281"/>
      <c r="CY45" s="281"/>
      <c r="CZ45" s="281"/>
      <c r="DA45" s="281"/>
      <c r="DB45" s="281"/>
      <c r="DC45" s="281"/>
      <c r="DD45" s="281"/>
      <c r="DE45" s="281"/>
      <c r="DF45" s="281"/>
      <c r="DG45" s="281"/>
      <c r="DH45" s="281"/>
      <c r="DI45" s="281"/>
      <c r="DJ45" s="281"/>
      <c r="DK45" s="281"/>
      <c r="DL45" s="281"/>
      <c r="DM45" s="281"/>
      <c r="DN45" s="281"/>
      <c r="DO45" s="281"/>
      <c r="DP45" s="281"/>
      <c r="DQ45" s="281"/>
      <c r="DR45" s="281"/>
      <c r="DS45" s="281"/>
      <c r="DT45" s="281"/>
      <c r="DU45" s="281"/>
      <c r="DV45" s="281"/>
      <c r="DW45" s="281"/>
      <c r="DX45" s="281"/>
      <c r="DY45" s="281"/>
      <c r="DZ45" s="281"/>
      <c r="EA45" s="281"/>
      <c r="EB45" s="281"/>
      <c r="EC45" s="281"/>
      <c r="ED45" s="281"/>
      <c r="EE45" s="281"/>
      <c r="EF45" s="281"/>
      <c r="EG45" s="281"/>
      <c r="EH45" s="281"/>
      <c r="EI45" s="281"/>
      <c r="EJ45" s="281"/>
      <c r="EK45" s="281"/>
      <c r="EL45" s="281"/>
      <c r="EM45" s="281"/>
      <c r="EN45" s="281"/>
      <c r="EO45" s="281"/>
      <c r="EP45" s="281"/>
      <c r="EQ45" s="281"/>
      <c r="ER45" s="281"/>
      <c r="ES45" s="281"/>
      <c r="ET45" s="281"/>
      <c r="EU45" s="281"/>
      <c r="EV45" s="281"/>
      <c r="EW45" s="281"/>
      <c r="EX45" s="281"/>
      <c r="EY45" s="281"/>
      <c r="EZ45" s="281"/>
      <c r="FA45" s="281"/>
      <c r="FB45" s="281"/>
      <c r="FC45" s="281"/>
      <c r="FD45" s="281"/>
      <c r="FE45" s="281"/>
      <c r="FF45" s="281"/>
      <c r="FG45" s="281"/>
      <c r="FH45" s="281"/>
      <c r="FI45" s="281"/>
      <c r="FJ45" s="281"/>
      <c r="FK45" s="281"/>
      <c r="FL45" s="281"/>
      <c r="FM45" s="281"/>
      <c r="FN45" s="281"/>
      <c r="FO45" s="281"/>
      <c r="FP45" s="281"/>
      <c r="FQ45" s="281"/>
      <c r="FR45" s="281"/>
      <c r="FS45" s="281"/>
      <c r="FT45" s="281"/>
      <c r="FU45" s="281"/>
      <c r="FV45" s="281"/>
      <c r="FW45" s="281"/>
      <c r="FX45" s="281"/>
      <c r="FY45" s="281"/>
      <c r="FZ45" s="281"/>
      <c r="GA45" s="281"/>
      <c r="GB45" s="281"/>
      <c r="GC45" s="281"/>
      <c r="GD45" s="281"/>
      <c r="GE45" s="281"/>
      <c r="GF45" s="281"/>
      <c r="GG45" s="281"/>
      <c r="GH45" s="281"/>
      <c r="GI45" s="281"/>
      <c r="GJ45" s="281"/>
      <c r="GK45" s="281"/>
      <c r="GL45" s="281"/>
      <c r="GM45" s="281"/>
      <c r="GN45" s="281"/>
      <c r="GO45" s="281"/>
      <c r="GP45" s="281"/>
      <c r="GQ45" s="281"/>
      <c r="GR45" s="281"/>
      <c r="GS45" s="281"/>
      <c r="GT45" s="281"/>
      <c r="GU45" s="281"/>
      <c r="GV45" s="281"/>
      <c r="GW45" s="281"/>
      <c r="GX45" s="281"/>
      <c r="GY45" s="281"/>
      <c r="GZ45" s="281"/>
      <c r="HA45" s="281"/>
      <c r="HB45" s="281"/>
      <c r="HC45" s="281"/>
      <c r="HD45" s="281"/>
      <c r="HE45" s="281"/>
      <c r="HF45" s="281"/>
      <c r="HG45" s="281"/>
      <c r="HH45" s="281"/>
      <c r="HI45" s="281"/>
      <c r="HJ45" s="281"/>
      <c r="HK45" s="281"/>
      <c r="HL45" s="281"/>
      <c r="HM45" s="281"/>
      <c r="HN45" s="281"/>
      <c r="HO45" s="281"/>
      <c r="HP45" s="281"/>
      <c r="HQ45" s="281"/>
      <c r="HR45" s="281"/>
      <c r="HS45" s="281"/>
      <c r="HT45" s="281"/>
      <c r="HU45" s="281"/>
      <c r="HV45" s="281"/>
      <c r="HW45" s="281"/>
      <c r="HX45" s="281"/>
      <c r="HY45" s="281"/>
      <c r="HZ45" s="281"/>
      <c r="IA45" s="281"/>
      <c r="IB45" s="281"/>
      <c r="IC45" s="281"/>
      <c r="ID45" s="281"/>
      <c r="IE45" s="281"/>
      <c r="IF45" s="281"/>
      <c r="IG45" s="281"/>
      <c r="IH45" s="281"/>
      <c r="II45" s="281"/>
      <c r="IJ45" s="281"/>
      <c r="IK45" s="281"/>
      <c r="IL45" s="281"/>
      <c r="IM45" s="281"/>
      <c r="IN45" s="281"/>
      <c r="IO45" s="281"/>
      <c r="IP45" s="282"/>
    </row>
    <row r="46" spans="1:250" ht="8" customHeight="1" x14ac:dyDescent="0.15">
      <c r="A46" s="278"/>
      <c r="B46" s="40"/>
      <c r="C46" s="490"/>
      <c r="D46" s="490"/>
      <c r="E46" s="490"/>
      <c r="F46" s="490"/>
      <c r="G46" s="40"/>
      <c r="H46" s="490"/>
      <c r="I46" s="490"/>
      <c r="J46" s="490"/>
      <c r="K46" s="490"/>
      <c r="L46" s="40"/>
      <c r="M46" s="490"/>
      <c r="N46" s="490"/>
      <c r="O46" s="490"/>
      <c r="P46" s="490"/>
      <c r="Q46" s="40"/>
      <c r="R46" s="490"/>
      <c r="S46" s="490"/>
      <c r="T46" s="490"/>
      <c r="U46" s="490"/>
      <c r="V46" s="490"/>
      <c r="W46" s="490"/>
      <c r="X46" s="490"/>
      <c r="Y46" s="490"/>
      <c r="Z46" s="490"/>
      <c r="AA46" s="40"/>
      <c r="AB46" s="490"/>
      <c r="AC46" s="490"/>
      <c r="AD46" s="490"/>
      <c r="AE46" s="490"/>
      <c r="AF46" s="40"/>
      <c r="AG46" s="40"/>
      <c r="AH46" s="40"/>
      <c r="AI46" s="240"/>
      <c r="AJ46" s="40"/>
      <c r="AK46" s="40"/>
      <c r="AL46" s="40"/>
      <c r="AM46" s="40"/>
      <c r="AN46" s="689"/>
      <c r="AO46" s="689"/>
      <c r="AP46" s="689"/>
      <c r="AQ46" s="689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40"/>
      <c r="DU46" s="40"/>
      <c r="DV46" s="40"/>
      <c r="DW46" s="40"/>
      <c r="DX46" s="40"/>
      <c r="DY46" s="40"/>
      <c r="DZ46" s="40"/>
      <c r="EA46" s="40"/>
      <c r="EB46" s="40"/>
      <c r="EC46" s="40"/>
      <c r="ED46" s="40"/>
      <c r="EE46" s="40"/>
      <c r="EF46" s="40"/>
      <c r="EG46" s="40"/>
      <c r="EH46" s="40"/>
      <c r="EI46" s="40"/>
      <c r="EJ46" s="40"/>
      <c r="EK46" s="40"/>
      <c r="EL46" s="40"/>
      <c r="EM46" s="40"/>
      <c r="EN46" s="40"/>
      <c r="EO46" s="40"/>
      <c r="EP46" s="40"/>
      <c r="EQ46" s="40"/>
      <c r="ER46" s="40"/>
      <c r="ES46" s="40"/>
      <c r="ET46" s="40"/>
      <c r="EU46" s="40"/>
      <c r="EV46" s="40"/>
      <c r="EW46" s="40"/>
      <c r="EX46" s="40"/>
      <c r="EY46" s="40"/>
      <c r="EZ46" s="40"/>
      <c r="FA46" s="40"/>
      <c r="FB46" s="40"/>
      <c r="FC46" s="40"/>
      <c r="FD46" s="40"/>
      <c r="FE46" s="40"/>
      <c r="FF46" s="40"/>
      <c r="FG46" s="40"/>
      <c r="FH46" s="40"/>
      <c r="FI46" s="40"/>
      <c r="FJ46" s="40"/>
      <c r="FK46" s="40"/>
      <c r="FL46" s="40"/>
      <c r="FM46" s="40"/>
      <c r="FN46" s="40"/>
      <c r="FO46" s="40"/>
      <c r="FP46" s="40"/>
      <c r="FQ46" s="40"/>
      <c r="FR46" s="40"/>
      <c r="FS46" s="40"/>
      <c r="FT46" s="40"/>
      <c r="FU46" s="40"/>
      <c r="FV46" s="40"/>
      <c r="FW46" s="40"/>
      <c r="FX46" s="40"/>
      <c r="FY46" s="40"/>
      <c r="FZ46" s="40"/>
      <c r="GA46" s="40"/>
      <c r="GB46" s="40"/>
      <c r="GC46" s="40"/>
      <c r="GD46" s="40"/>
      <c r="GE46" s="40"/>
      <c r="GF46" s="40"/>
      <c r="GG46" s="40"/>
      <c r="GH46" s="40"/>
      <c r="GI46" s="40"/>
      <c r="GJ46" s="40"/>
      <c r="GK46" s="40"/>
      <c r="GL46" s="40"/>
      <c r="GM46" s="40"/>
      <c r="GN46" s="40"/>
      <c r="GO46" s="40"/>
      <c r="GP46" s="40"/>
      <c r="GQ46" s="40"/>
      <c r="GR46" s="40"/>
      <c r="GS46" s="40"/>
      <c r="GT46" s="40"/>
      <c r="GU46" s="40"/>
      <c r="GV46" s="40"/>
      <c r="GW46" s="40"/>
      <c r="GX46" s="40"/>
      <c r="GY46" s="40"/>
      <c r="GZ46" s="40"/>
      <c r="HA46" s="40"/>
      <c r="HB46" s="40"/>
      <c r="HC46" s="40"/>
      <c r="HD46" s="40"/>
      <c r="HE46" s="40"/>
      <c r="HF46" s="40"/>
      <c r="HG46" s="40"/>
      <c r="HH46" s="40"/>
      <c r="HI46" s="40"/>
      <c r="HJ46" s="40"/>
      <c r="HK46" s="40"/>
      <c r="HL46" s="40"/>
      <c r="HM46" s="40"/>
      <c r="HN46" s="40"/>
      <c r="HO46" s="40"/>
      <c r="HP46" s="40"/>
      <c r="HQ46" s="40"/>
      <c r="HR46" s="40"/>
      <c r="HS46" s="40"/>
      <c r="HT46" s="40"/>
      <c r="HU46" s="40"/>
      <c r="HV46" s="40"/>
      <c r="HW46" s="40"/>
      <c r="HX46" s="40"/>
      <c r="HY46" s="40"/>
      <c r="HZ46" s="40"/>
      <c r="IA46" s="40"/>
      <c r="IB46" s="40"/>
      <c r="IC46" s="40"/>
      <c r="ID46" s="40"/>
      <c r="IE46" s="40"/>
      <c r="IF46" s="40"/>
      <c r="IG46" s="40"/>
      <c r="IH46" s="40"/>
      <c r="II46" s="40"/>
      <c r="IJ46" s="40"/>
      <c r="IK46" s="40"/>
      <c r="IL46" s="40"/>
      <c r="IM46" s="40"/>
      <c r="IN46" s="40"/>
      <c r="IO46" s="40"/>
      <c r="IP46" s="41"/>
    </row>
    <row r="47" spans="1:250" ht="20" customHeight="1" x14ac:dyDescent="0.15">
      <c r="A47" s="494"/>
      <c r="B47" s="495"/>
      <c r="C47" s="285">
        <v>1</v>
      </c>
      <c r="D47" s="286" t="s">
        <v>187</v>
      </c>
      <c r="E47" s="286" t="s">
        <v>140</v>
      </c>
      <c r="F47" s="287" t="s">
        <v>40</v>
      </c>
      <c r="G47" s="288"/>
      <c r="H47" s="285">
        <v>2</v>
      </c>
      <c r="I47" s="286" t="s">
        <v>188</v>
      </c>
      <c r="J47" s="286" t="s">
        <v>140</v>
      </c>
      <c r="K47" s="298" t="s">
        <v>40</v>
      </c>
      <c r="L47" s="496"/>
      <c r="M47" s="285">
        <v>3</v>
      </c>
      <c r="N47" s="286" t="s">
        <v>189</v>
      </c>
      <c r="O47" s="290" t="s">
        <v>142</v>
      </c>
      <c r="P47" s="287" t="s">
        <v>40</v>
      </c>
      <c r="Q47" s="496"/>
      <c r="R47" s="285">
        <v>4</v>
      </c>
      <c r="S47" s="291" t="s">
        <v>143</v>
      </c>
      <c r="T47" s="292" t="s">
        <v>144</v>
      </c>
      <c r="U47" s="293" t="s">
        <v>58</v>
      </c>
      <c r="V47" s="292" t="s">
        <v>145</v>
      </c>
      <c r="W47" s="293" t="s">
        <v>146</v>
      </c>
      <c r="X47" s="292" t="s">
        <v>147</v>
      </c>
      <c r="Y47" s="294" t="s">
        <v>72</v>
      </c>
      <c r="Z47" s="287" t="s">
        <v>40</v>
      </c>
      <c r="AA47" s="496"/>
      <c r="AB47" s="285">
        <v>5</v>
      </c>
      <c r="AC47" s="286" t="s">
        <v>190</v>
      </c>
      <c r="AD47" s="290" t="s">
        <v>142</v>
      </c>
      <c r="AE47" s="287" t="s">
        <v>40</v>
      </c>
      <c r="AF47" s="1729"/>
      <c r="AG47" s="299"/>
      <c r="AH47" s="1741" t="s">
        <v>74</v>
      </c>
      <c r="AI47" s="1742" t="s">
        <v>162</v>
      </c>
      <c r="AJ47" s="1743" t="s">
        <v>148</v>
      </c>
      <c r="AK47" s="1744" t="s">
        <v>149</v>
      </c>
      <c r="AL47" s="299"/>
      <c r="AM47" s="690"/>
      <c r="AN47" s="691"/>
      <c r="AO47" s="692" t="s">
        <v>191</v>
      </c>
      <c r="AP47" s="693" t="s">
        <v>142</v>
      </c>
      <c r="AQ47" s="694" t="s">
        <v>40</v>
      </c>
      <c r="AR47" s="695"/>
      <c r="AS47" s="40"/>
      <c r="AT47" s="40"/>
      <c r="AU47" s="40"/>
      <c r="AV47" s="40"/>
      <c r="AW47" s="40"/>
      <c r="AX47" s="40"/>
      <c r="AY47" s="40"/>
      <c r="AZ47" s="40"/>
      <c r="BA47" s="40"/>
      <c r="BB47" s="299"/>
      <c r="BC47" s="281"/>
      <c r="BD47" s="281"/>
      <c r="BE47" s="281"/>
      <c r="BF47" s="281"/>
      <c r="BG47" s="281"/>
      <c r="BH47" s="281"/>
      <c r="BI47" s="281"/>
      <c r="BJ47" s="281"/>
      <c r="BK47" s="281"/>
      <c r="BL47" s="281"/>
      <c r="BM47" s="281"/>
      <c r="BN47" s="281"/>
      <c r="BO47" s="281"/>
      <c r="BP47" s="281"/>
      <c r="BQ47" s="281"/>
      <c r="BR47" s="281"/>
      <c r="BS47" s="281"/>
      <c r="BT47" s="281"/>
      <c r="BU47" s="281"/>
      <c r="BV47" s="281"/>
      <c r="BW47" s="281"/>
      <c r="BX47" s="281"/>
      <c r="BY47" s="281"/>
      <c r="BZ47" s="281"/>
      <c r="CA47" s="281"/>
      <c r="CB47" s="281"/>
      <c r="CC47" s="281"/>
      <c r="CD47" s="281"/>
      <c r="CE47" s="281"/>
      <c r="CF47" s="281"/>
      <c r="CG47" s="281"/>
      <c r="CH47" s="281"/>
      <c r="CI47" s="281"/>
      <c r="CJ47" s="281"/>
      <c r="CK47" s="281"/>
      <c r="CL47" s="281"/>
      <c r="CM47" s="281"/>
      <c r="CN47" s="281"/>
      <c r="CO47" s="281"/>
      <c r="CP47" s="281"/>
      <c r="CQ47" s="281"/>
      <c r="CR47" s="281"/>
      <c r="CS47" s="281"/>
      <c r="CT47" s="281"/>
      <c r="CU47" s="281"/>
      <c r="CV47" s="281"/>
      <c r="CW47" s="281"/>
      <c r="CX47" s="281"/>
      <c r="CY47" s="281"/>
      <c r="CZ47" s="281"/>
      <c r="DA47" s="281"/>
      <c r="DB47" s="281"/>
      <c r="DC47" s="281"/>
      <c r="DD47" s="281"/>
      <c r="DE47" s="281"/>
      <c r="DF47" s="281"/>
      <c r="DG47" s="281"/>
      <c r="DH47" s="281"/>
      <c r="DI47" s="281"/>
      <c r="DJ47" s="281"/>
      <c r="DK47" s="281"/>
      <c r="DL47" s="281"/>
      <c r="DM47" s="281"/>
      <c r="DN47" s="281"/>
      <c r="DO47" s="281"/>
      <c r="DP47" s="281"/>
      <c r="DQ47" s="281"/>
      <c r="DR47" s="281"/>
      <c r="DS47" s="281"/>
      <c r="DT47" s="281"/>
      <c r="DU47" s="281"/>
      <c r="DV47" s="281"/>
      <c r="DW47" s="281"/>
      <c r="DX47" s="281"/>
      <c r="DY47" s="281"/>
      <c r="DZ47" s="281"/>
      <c r="EA47" s="281"/>
      <c r="EB47" s="281"/>
      <c r="EC47" s="281"/>
      <c r="ED47" s="281"/>
      <c r="EE47" s="281"/>
      <c r="EF47" s="281"/>
      <c r="EG47" s="281"/>
      <c r="EH47" s="281"/>
      <c r="EI47" s="281"/>
      <c r="EJ47" s="281"/>
      <c r="EK47" s="281"/>
      <c r="EL47" s="281"/>
      <c r="EM47" s="281"/>
      <c r="EN47" s="281"/>
      <c r="EO47" s="281"/>
      <c r="EP47" s="281"/>
      <c r="EQ47" s="281"/>
      <c r="ER47" s="281"/>
      <c r="ES47" s="281"/>
      <c r="ET47" s="281"/>
      <c r="EU47" s="281"/>
      <c r="EV47" s="281"/>
      <c r="EW47" s="281"/>
      <c r="EX47" s="281"/>
      <c r="EY47" s="281"/>
      <c r="EZ47" s="281"/>
      <c r="FA47" s="281"/>
      <c r="FB47" s="281"/>
      <c r="FC47" s="281"/>
      <c r="FD47" s="281"/>
      <c r="FE47" s="281"/>
      <c r="FF47" s="281"/>
      <c r="FG47" s="281"/>
      <c r="FH47" s="281"/>
      <c r="FI47" s="281"/>
      <c r="FJ47" s="281"/>
      <c r="FK47" s="281"/>
      <c r="FL47" s="281"/>
      <c r="FM47" s="281"/>
      <c r="FN47" s="281"/>
      <c r="FO47" s="281"/>
      <c r="FP47" s="281"/>
      <c r="FQ47" s="281"/>
      <c r="FR47" s="281"/>
      <c r="FS47" s="281"/>
      <c r="FT47" s="281"/>
      <c r="FU47" s="281"/>
      <c r="FV47" s="281"/>
      <c r="FW47" s="281"/>
      <c r="FX47" s="281"/>
      <c r="FY47" s="281"/>
      <c r="FZ47" s="281"/>
      <c r="GA47" s="281"/>
      <c r="GB47" s="281"/>
      <c r="GC47" s="281"/>
      <c r="GD47" s="281"/>
      <c r="GE47" s="281"/>
      <c r="GF47" s="281"/>
      <c r="GG47" s="281"/>
      <c r="GH47" s="281"/>
      <c r="GI47" s="281"/>
      <c r="GJ47" s="281"/>
      <c r="GK47" s="281"/>
      <c r="GL47" s="281"/>
      <c r="GM47" s="281"/>
      <c r="GN47" s="281"/>
      <c r="GO47" s="281"/>
      <c r="GP47" s="281"/>
      <c r="GQ47" s="281"/>
      <c r="GR47" s="281"/>
      <c r="GS47" s="281"/>
      <c r="GT47" s="281"/>
      <c r="GU47" s="281"/>
      <c r="GV47" s="281"/>
      <c r="GW47" s="281"/>
      <c r="GX47" s="281"/>
      <c r="GY47" s="281"/>
      <c r="GZ47" s="281"/>
      <c r="HA47" s="281"/>
      <c r="HB47" s="281"/>
      <c r="HC47" s="281"/>
      <c r="HD47" s="281"/>
      <c r="HE47" s="281"/>
      <c r="HF47" s="281"/>
      <c r="HG47" s="281"/>
      <c r="HH47" s="281"/>
      <c r="HI47" s="281"/>
      <c r="HJ47" s="281"/>
      <c r="HK47" s="281"/>
      <c r="HL47" s="281"/>
      <c r="HM47" s="281"/>
      <c r="HN47" s="281"/>
      <c r="HO47" s="281"/>
      <c r="HP47" s="281"/>
      <c r="HQ47" s="281"/>
      <c r="HR47" s="281"/>
      <c r="HS47" s="281"/>
      <c r="HT47" s="281"/>
      <c r="HU47" s="281"/>
      <c r="HV47" s="281"/>
      <c r="HW47" s="281"/>
      <c r="HX47" s="281"/>
      <c r="HY47" s="281"/>
      <c r="HZ47" s="281"/>
      <c r="IA47" s="281"/>
      <c r="IB47" s="281"/>
      <c r="IC47" s="281"/>
      <c r="ID47" s="281"/>
      <c r="IE47" s="281"/>
      <c r="IF47" s="281"/>
      <c r="IG47" s="281"/>
      <c r="IH47" s="281"/>
      <c r="II47" s="281"/>
      <c r="IJ47" s="281"/>
      <c r="IK47" s="281"/>
      <c r="IL47" s="281"/>
      <c r="IM47" s="281"/>
      <c r="IN47" s="281"/>
      <c r="IO47" s="281"/>
      <c r="IP47" s="282"/>
    </row>
    <row r="48" spans="1:250" ht="23" customHeight="1" x14ac:dyDescent="0.15">
      <c r="A48" s="283"/>
      <c r="B48" s="284"/>
      <c r="C48" s="344" t="s">
        <v>18</v>
      </c>
      <c r="D48" s="2076">
        <v>10.292427045580013</v>
      </c>
      <c r="E48" s="345">
        <f>100-((D48*100)/100)</f>
        <v>89.707572954419987</v>
      </c>
      <c r="F48" s="515">
        <v>1</v>
      </c>
      <c r="G48" s="288"/>
      <c r="H48" s="313" t="s">
        <v>10</v>
      </c>
      <c r="I48" s="2026">
        <v>3.0389948915648972</v>
      </c>
      <c r="J48" s="314">
        <f>100-((I48*100)/100)</f>
        <v>96.961005108435103</v>
      </c>
      <c r="K48" s="448">
        <v>1</v>
      </c>
      <c r="L48" s="576"/>
      <c r="M48" s="344" t="s">
        <v>18</v>
      </c>
      <c r="N48" s="1478">
        <f>'H Hélio'!L26</f>
        <v>2.9367243828568682E-6</v>
      </c>
      <c r="O48" s="523">
        <f>'H Hélio'!L27</f>
        <v>9.7746061607128745</v>
      </c>
      <c r="P48" s="524">
        <v>1</v>
      </c>
      <c r="Q48" s="576"/>
      <c r="R48" s="344" t="s">
        <v>18</v>
      </c>
      <c r="S48" s="553">
        <f>'H Hélio'!L29</f>
        <v>1</v>
      </c>
      <c r="T48" s="553">
        <f>'H Hélio'!L30</f>
        <v>2</v>
      </c>
      <c r="U48" s="553">
        <f>'H Hélio'!L31</f>
        <v>0</v>
      </c>
      <c r="V48" s="553">
        <f>'H Hélio'!L32</f>
        <v>1</v>
      </c>
      <c r="W48" s="553">
        <f>'H Hélio'!L33</f>
        <v>1</v>
      </c>
      <c r="X48" s="553">
        <f>'H Hélio'!L34</f>
        <v>1</v>
      </c>
      <c r="Y48" s="553">
        <f>'H Hélio'!L35</f>
        <v>0</v>
      </c>
      <c r="Z48" s="704">
        <f>'H Hélio'!L37</f>
        <v>1</v>
      </c>
      <c r="AA48" s="578"/>
      <c r="AB48" s="344" t="s">
        <v>18</v>
      </c>
      <c r="AC48" s="698">
        <f>'H Hélio'!L7</f>
        <v>6.9528456290015583E-3</v>
      </c>
      <c r="AD48" s="523">
        <f>'H Hélio'!L8</f>
        <v>9.4856924791695825</v>
      </c>
      <c r="AE48" s="524">
        <v>1</v>
      </c>
      <c r="AF48" s="1730"/>
      <c r="AG48" s="726"/>
      <c r="AH48" s="1770">
        <v>1</v>
      </c>
      <c r="AI48" s="473" t="s">
        <v>10</v>
      </c>
      <c r="AJ48" s="447">
        <v>12</v>
      </c>
      <c r="AK48" s="1756">
        <f t="shared" ref="AK48:AK57" si="5">AJ48/5</f>
        <v>2.4</v>
      </c>
      <c r="AL48" s="726"/>
      <c r="AM48" s="699"/>
      <c r="AN48" s="700" t="s">
        <v>9</v>
      </c>
      <c r="AO48" s="701"/>
      <c r="AP48" s="586"/>
      <c r="AQ48" s="702"/>
      <c r="AR48" s="695"/>
      <c r="AS48" s="40"/>
      <c r="AT48" s="40"/>
      <c r="AU48" s="40"/>
      <c r="AV48" s="40"/>
      <c r="AW48" s="40"/>
      <c r="AX48" s="40"/>
      <c r="AY48" s="40"/>
      <c r="AZ48" s="40"/>
      <c r="BA48" s="40"/>
      <c r="BB48" s="703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1"/>
      <c r="CC48" s="281"/>
      <c r="CD48" s="281"/>
      <c r="CE48" s="281"/>
      <c r="CF48" s="281"/>
      <c r="CG48" s="281"/>
      <c r="CH48" s="281"/>
      <c r="CI48" s="281"/>
      <c r="CJ48" s="281"/>
      <c r="CK48" s="281"/>
      <c r="CL48" s="281"/>
      <c r="CM48" s="281"/>
      <c r="CN48" s="281"/>
      <c r="CO48" s="281"/>
      <c r="CP48" s="281"/>
      <c r="CQ48" s="281"/>
      <c r="CR48" s="281"/>
      <c r="CS48" s="281"/>
      <c r="CT48" s="281"/>
      <c r="CU48" s="281"/>
      <c r="CV48" s="281"/>
      <c r="CW48" s="281"/>
      <c r="CX48" s="281"/>
      <c r="CY48" s="281"/>
      <c r="CZ48" s="281"/>
      <c r="DA48" s="281"/>
      <c r="DB48" s="281"/>
      <c r="DC48" s="281"/>
      <c r="DD48" s="281"/>
      <c r="DE48" s="281"/>
      <c r="DF48" s="281"/>
      <c r="DG48" s="281"/>
      <c r="DH48" s="281"/>
      <c r="DI48" s="281"/>
      <c r="DJ48" s="281"/>
      <c r="DK48" s="281"/>
      <c r="DL48" s="281"/>
      <c r="DM48" s="281"/>
      <c r="DN48" s="281"/>
      <c r="DO48" s="281"/>
      <c r="DP48" s="281"/>
      <c r="DQ48" s="281"/>
      <c r="DR48" s="281"/>
      <c r="DS48" s="281"/>
      <c r="DT48" s="281"/>
      <c r="DU48" s="281"/>
      <c r="DV48" s="281"/>
      <c r="DW48" s="281"/>
      <c r="DX48" s="281"/>
      <c r="DY48" s="281"/>
      <c r="DZ48" s="281"/>
      <c r="EA48" s="281"/>
      <c r="EB48" s="281"/>
      <c r="EC48" s="281"/>
      <c r="ED48" s="281"/>
      <c r="EE48" s="281"/>
      <c r="EF48" s="281"/>
      <c r="EG48" s="281"/>
      <c r="EH48" s="281"/>
      <c r="EI48" s="281"/>
      <c r="EJ48" s="281"/>
      <c r="EK48" s="281"/>
      <c r="EL48" s="281"/>
      <c r="EM48" s="281"/>
      <c r="EN48" s="281"/>
      <c r="EO48" s="281"/>
      <c r="EP48" s="281"/>
      <c r="EQ48" s="281"/>
      <c r="ER48" s="281"/>
      <c r="ES48" s="281"/>
      <c r="ET48" s="281"/>
      <c r="EU48" s="281"/>
      <c r="EV48" s="281"/>
      <c r="EW48" s="281"/>
      <c r="EX48" s="281"/>
      <c r="EY48" s="281"/>
      <c r="EZ48" s="281"/>
      <c r="FA48" s="281"/>
      <c r="FB48" s="281"/>
      <c r="FC48" s="281"/>
      <c r="FD48" s="281"/>
      <c r="FE48" s="281"/>
      <c r="FF48" s="281"/>
      <c r="FG48" s="281"/>
      <c r="FH48" s="281"/>
      <c r="FI48" s="281"/>
      <c r="FJ48" s="281"/>
      <c r="FK48" s="281"/>
      <c r="FL48" s="281"/>
      <c r="FM48" s="281"/>
      <c r="FN48" s="281"/>
      <c r="FO48" s="281"/>
      <c r="FP48" s="281"/>
      <c r="FQ48" s="281"/>
      <c r="FR48" s="281"/>
      <c r="FS48" s="281"/>
      <c r="FT48" s="281"/>
      <c r="FU48" s="281"/>
      <c r="FV48" s="281"/>
      <c r="FW48" s="281"/>
      <c r="FX48" s="281"/>
      <c r="FY48" s="281"/>
      <c r="FZ48" s="281"/>
      <c r="GA48" s="281"/>
      <c r="GB48" s="281"/>
      <c r="GC48" s="281"/>
      <c r="GD48" s="281"/>
      <c r="GE48" s="281"/>
      <c r="GF48" s="281"/>
      <c r="GG48" s="281"/>
      <c r="GH48" s="281"/>
      <c r="GI48" s="281"/>
      <c r="GJ48" s="281"/>
      <c r="GK48" s="281"/>
      <c r="GL48" s="281"/>
      <c r="GM48" s="281"/>
      <c r="GN48" s="281"/>
      <c r="GO48" s="281"/>
      <c r="GP48" s="281"/>
      <c r="GQ48" s="281"/>
      <c r="GR48" s="281"/>
      <c r="GS48" s="281"/>
      <c r="GT48" s="281"/>
      <c r="GU48" s="281"/>
      <c r="GV48" s="281"/>
      <c r="GW48" s="281"/>
      <c r="GX48" s="281"/>
      <c r="GY48" s="281"/>
      <c r="GZ48" s="281"/>
      <c r="HA48" s="281"/>
      <c r="HB48" s="281"/>
      <c r="HC48" s="281"/>
      <c r="HD48" s="281"/>
      <c r="HE48" s="281"/>
      <c r="HF48" s="281"/>
      <c r="HG48" s="281"/>
      <c r="HH48" s="281"/>
      <c r="HI48" s="281"/>
      <c r="HJ48" s="281"/>
      <c r="HK48" s="281"/>
      <c r="HL48" s="281"/>
      <c r="HM48" s="281"/>
      <c r="HN48" s="281"/>
      <c r="HO48" s="281"/>
      <c r="HP48" s="281"/>
      <c r="HQ48" s="281"/>
      <c r="HR48" s="281"/>
      <c r="HS48" s="281"/>
      <c r="HT48" s="281"/>
      <c r="HU48" s="281"/>
      <c r="HV48" s="281"/>
      <c r="HW48" s="281"/>
      <c r="HX48" s="281"/>
      <c r="HY48" s="281"/>
      <c r="HZ48" s="281"/>
      <c r="IA48" s="281"/>
      <c r="IB48" s="281"/>
      <c r="IC48" s="281"/>
      <c r="ID48" s="281"/>
      <c r="IE48" s="281"/>
      <c r="IF48" s="281"/>
      <c r="IG48" s="281"/>
      <c r="IH48" s="281"/>
      <c r="II48" s="281"/>
      <c r="IJ48" s="281"/>
      <c r="IK48" s="281"/>
      <c r="IL48" s="281"/>
      <c r="IM48" s="281"/>
      <c r="IN48" s="281"/>
      <c r="IO48" s="281"/>
      <c r="IP48" s="282"/>
    </row>
    <row r="49" spans="1:250" ht="21" customHeight="1" x14ac:dyDescent="0.15">
      <c r="A49" s="283"/>
      <c r="B49" s="284"/>
      <c r="C49" s="11" t="s">
        <v>13</v>
      </c>
      <c r="D49" s="2465">
        <v>1.1701593268599879</v>
      </c>
      <c r="E49" s="502">
        <f>80-((D49*80)/100)</f>
        <v>79.063872538512015</v>
      </c>
      <c r="F49" s="503">
        <v>2</v>
      </c>
      <c r="G49" s="288"/>
      <c r="H49" s="11" t="s">
        <v>13</v>
      </c>
      <c r="I49" s="2470">
        <v>17.614641875506607</v>
      </c>
      <c r="J49" s="502">
        <f>90-((I49*90)/100)</f>
        <v>74.146822312044051</v>
      </c>
      <c r="K49" s="503">
        <v>2</v>
      </c>
      <c r="L49" s="591"/>
      <c r="M49" s="449" t="s">
        <v>11</v>
      </c>
      <c r="N49" s="669">
        <f>'H Hélio'!E26</f>
        <v>1.5808659635072815</v>
      </c>
      <c r="O49" s="468">
        <f>'H Hélio'!E27</f>
        <v>9.0117060018785047</v>
      </c>
      <c r="P49" s="469">
        <v>2</v>
      </c>
      <c r="Q49" s="591"/>
      <c r="R49" s="313" t="s">
        <v>10</v>
      </c>
      <c r="S49" s="525">
        <f>'H Hélio'!D29</f>
        <v>1</v>
      </c>
      <c r="T49" s="525">
        <f>'H Hélio'!D30</f>
        <v>2</v>
      </c>
      <c r="U49" s="525">
        <f>'H Hélio'!D31</f>
        <v>2</v>
      </c>
      <c r="V49" s="525">
        <f>'H Hélio'!D32</f>
        <v>0</v>
      </c>
      <c r="W49" s="525">
        <f>'H Hélio'!D33</f>
        <v>0</v>
      </c>
      <c r="X49" s="525">
        <f>'H Hélio'!D34</f>
        <v>0</v>
      </c>
      <c r="Y49" s="525">
        <f>'H Hélio'!D35</f>
        <v>0</v>
      </c>
      <c r="Z49" s="708">
        <f>'H Hélio'!D37</f>
        <v>2</v>
      </c>
      <c r="AA49" s="343"/>
      <c r="AB49" s="313" t="s">
        <v>10</v>
      </c>
      <c r="AC49" s="1536">
        <f>'H Hélio'!D7</f>
        <v>5.9139062716110047</v>
      </c>
      <c r="AD49" s="314">
        <f>'H Hélio'!D8</f>
        <v>8.8349249211416723</v>
      </c>
      <c r="AE49" s="448">
        <v>2</v>
      </c>
      <c r="AF49" s="1731"/>
      <c r="AG49" s="1739"/>
      <c r="AH49" s="1776">
        <v>2</v>
      </c>
      <c r="AI49" s="552" t="s">
        <v>18</v>
      </c>
      <c r="AJ49" s="522">
        <v>12</v>
      </c>
      <c r="AK49" s="1768">
        <f t="shared" si="5"/>
        <v>2.4</v>
      </c>
      <c r="AL49" s="1739"/>
      <c r="AM49" s="706"/>
      <c r="AN49" s="700" t="s">
        <v>10</v>
      </c>
      <c r="AO49" s="701"/>
      <c r="AP49" s="586"/>
      <c r="AQ49" s="702"/>
      <c r="AR49" s="695"/>
      <c r="AS49" s="40"/>
      <c r="AT49" s="40"/>
      <c r="AU49" s="40"/>
      <c r="AV49" s="40"/>
      <c r="AW49" s="40"/>
      <c r="AX49" s="40"/>
      <c r="AY49" s="40"/>
      <c r="AZ49" s="40"/>
      <c r="BA49" s="40"/>
      <c r="BB49" s="707"/>
      <c r="BC49" s="281"/>
      <c r="BD49" s="281"/>
      <c r="BE49" s="281"/>
      <c r="BF49" s="281"/>
      <c r="BG49" s="281"/>
      <c r="BH49" s="281"/>
      <c r="BI49" s="281"/>
      <c r="BJ49" s="281"/>
      <c r="BK49" s="281"/>
      <c r="BL49" s="281"/>
      <c r="BM49" s="281"/>
      <c r="BN49" s="281"/>
      <c r="BO49" s="281"/>
      <c r="BP49" s="281"/>
      <c r="BQ49" s="281"/>
      <c r="BR49" s="281"/>
      <c r="BS49" s="281"/>
      <c r="BT49" s="281"/>
      <c r="BU49" s="281"/>
      <c r="BV49" s="281"/>
      <c r="BW49" s="281"/>
      <c r="BX49" s="281"/>
      <c r="BY49" s="281"/>
      <c r="BZ49" s="281"/>
      <c r="CA49" s="281"/>
      <c r="CB49" s="281"/>
      <c r="CC49" s="281"/>
      <c r="CD49" s="281"/>
      <c r="CE49" s="281"/>
      <c r="CF49" s="281"/>
      <c r="CG49" s="281"/>
      <c r="CH49" s="281"/>
      <c r="CI49" s="281"/>
      <c r="CJ49" s="281"/>
      <c r="CK49" s="281"/>
      <c r="CL49" s="281"/>
      <c r="CM49" s="281"/>
      <c r="CN49" s="281"/>
      <c r="CO49" s="281"/>
      <c r="CP49" s="281"/>
      <c r="CQ49" s="281"/>
      <c r="CR49" s="281"/>
      <c r="CS49" s="281"/>
      <c r="CT49" s="281"/>
      <c r="CU49" s="281"/>
      <c r="CV49" s="281"/>
      <c r="CW49" s="281"/>
      <c r="CX49" s="281"/>
      <c r="CY49" s="281"/>
      <c r="CZ49" s="281"/>
      <c r="DA49" s="281"/>
      <c r="DB49" s="281"/>
      <c r="DC49" s="281"/>
      <c r="DD49" s="281"/>
      <c r="DE49" s="281"/>
      <c r="DF49" s="281"/>
      <c r="DG49" s="281"/>
      <c r="DH49" s="281"/>
      <c r="DI49" s="281"/>
      <c r="DJ49" s="281"/>
      <c r="DK49" s="281"/>
      <c r="DL49" s="281"/>
      <c r="DM49" s="281"/>
      <c r="DN49" s="281"/>
      <c r="DO49" s="281"/>
      <c r="DP49" s="281"/>
      <c r="DQ49" s="281"/>
      <c r="DR49" s="281"/>
      <c r="DS49" s="281"/>
      <c r="DT49" s="281"/>
      <c r="DU49" s="281"/>
      <c r="DV49" s="281"/>
      <c r="DW49" s="281"/>
      <c r="DX49" s="281"/>
      <c r="DY49" s="281"/>
      <c r="DZ49" s="281"/>
      <c r="EA49" s="281"/>
      <c r="EB49" s="281"/>
      <c r="EC49" s="281"/>
      <c r="ED49" s="281"/>
      <c r="EE49" s="281"/>
      <c r="EF49" s="281"/>
      <c r="EG49" s="281"/>
      <c r="EH49" s="281"/>
      <c r="EI49" s="281"/>
      <c r="EJ49" s="281"/>
      <c r="EK49" s="281"/>
      <c r="EL49" s="281"/>
      <c r="EM49" s="281"/>
      <c r="EN49" s="281"/>
      <c r="EO49" s="281"/>
      <c r="EP49" s="281"/>
      <c r="EQ49" s="281"/>
      <c r="ER49" s="281"/>
      <c r="ES49" s="281"/>
      <c r="ET49" s="281"/>
      <c r="EU49" s="281"/>
      <c r="EV49" s="281"/>
      <c r="EW49" s="281"/>
      <c r="EX49" s="281"/>
      <c r="EY49" s="281"/>
      <c r="EZ49" s="281"/>
      <c r="FA49" s="281"/>
      <c r="FB49" s="281"/>
      <c r="FC49" s="281"/>
      <c r="FD49" s="281"/>
      <c r="FE49" s="281"/>
      <c r="FF49" s="281"/>
      <c r="FG49" s="281"/>
      <c r="FH49" s="281"/>
      <c r="FI49" s="281"/>
      <c r="FJ49" s="281"/>
      <c r="FK49" s="281"/>
      <c r="FL49" s="281"/>
      <c r="FM49" s="281"/>
      <c r="FN49" s="281"/>
      <c r="FO49" s="281"/>
      <c r="FP49" s="281"/>
      <c r="FQ49" s="281"/>
      <c r="FR49" s="281"/>
      <c r="FS49" s="281"/>
      <c r="FT49" s="281"/>
      <c r="FU49" s="281"/>
      <c r="FV49" s="281"/>
      <c r="FW49" s="281"/>
      <c r="FX49" s="281"/>
      <c r="FY49" s="281"/>
      <c r="FZ49" s="281"/>
      <c r="GA49" s="281"/>
      <c r="GB49" s="281"/>
      <c r="GC49" s="281"/>
      <c r="GD49" s="281"/>
      <c r="GE49" s="281"/>
      <c r="GF49" s="281"/>
      <c r="GG49" s="281"/>
      <c r="GH49" s="281"/>
      <c r="GI49" s="281"/>
      <c r="GJ49" s="281"/>
      <c r="GK49" s="281"/>
      <c r="GL49" s="281"/>
      <c r="GM49" s="281"/>
      <c r="GN49" s="281"/>
      <c r="GO49" s="281"/>
      <c r="GP49" s="281"/>
      <c r="GQ49" s="281"/>
      <c r="GR49" s="281"/>
      <c r="GS49" s="281"/>
      <c r="GT49" s="281"/>
      <c r="GU49" s="281"/>
      <c r="GV49" s="281"/>
      <c r="GW49" s="281"/>
      <c r="GX49" s="281"/>
      <c r="GY49" s="281"/>
      <c r="GZ49" s="281"/>
      <c r="HA49" s="281"/>
      <c r="HB49" s="281"/>
      <c r="HC49" s="281"/>
      <c r="HD49" s="281"/>
      <c r="HE49" s="281"/>
      <c r="HF49" s="281"/>
      <c r="HG49" s="281"/>
      <c r="HH49" s="281"/>
      <c r="HI49" s="281"/>
      <c r="HJ49" s="281"/>
      <c r="HK49" s="281"/>
      <c r="HL49" s="281"/>
      <c r="HM49" s="281"/>
      <c r="HN49" s="281"/>
      <c r="HO49" s="281"/>
      <c r="HP49" s="281"/>
      <c r="HQ49" s="281"/>
      <c r="HR49" s="281"/>
      <c r="HS49" s="281"/>
      <c r="HT49" s="281"/>
      <c r="HU49" s="281"/>
      <c r="HV49" s="281"/>
      <c r="HW49" s="281"/>
      <c r="HX49" s="281"/>
      <c r="HY49" s="281"/>
      <c r="HZ49" s="281"/>
      <c r="IA49" s="281"/>
      <c r="IB49" s="281"/>
      <c r="IC49" s="281"/>
      <c r="ID49" s="281"/>
      <c r="IE49" s="281"/>
      <c r="IF49" s="281"/>
      <c r="IG49" s="281"/>
      <c r="IH49" s="281"/>
      <c r="II49" s="281"/>
      <c r="IJ49" s="281"/>
      <c r="IK49" s="281"/>
      <c r="IL49" s="281"/>
      <c r="IM49" s="281"/>
      <c r="IN49" s="281"/>
      <c r="IO49" s="281"/>
      <c r="IP49" s="282"/>
    </row>
    <row r="50" spans="1:250" ht="21" customHeight="1" x14ac:dyDescent="0.15">
      <c r="A50" s="283"/>
      <c r="B50" s="284"/>
      <c r="C50" s="304" t="s">
        <v>14</v>
      </c>
      <c r="D50" s="2466">
        <v>12.260621902052691</v>
      </c>
      <c r="E50" s="365">
        <f>90-((D50*90)/100)</f>
        <v>78.965440288152578</v>
      </c>
      <c r="F50" s="366">
        <v>3</v>
      </c>
      <c r="G50" s="288"/>
      <c r="H50" s="449" t="s">
        <v>11</v>
      </c>
      <c r="I50" s="2476">
        <v>15.741124690946009</v>
      </c>
      <c r="J50" s="468">
        <f>85-((I50*85)/100)</f>
        <v>71.620044012695899</v>
      </c>
      <c r="K50" s="469">
        <v>3</v>
      </c>
      <c r="L50" s="602"/>
      <c r="M50" s="313" t="s">
        <v>10</v>
      </c>
      <c r="N50" s="541">
        <f>'H Hélio'!D26</f>
        <v>0.60176384008115924</v>
      </c>
      <c r="O50" s="314">
        <f>'H Hélio'!D27</f>
        <v>8.0528905143334946</v>
      </c>
      <c r="P50" s="448">
        <v>3</v>
      </c>
      <c r="Q50" s="602"/>
      <c r="R50" s="696" t="s">
        <v>12</v>
      </c>
      <c r="S50" s="657">
        <f>'H Hélio'!F29</f>
        <v>1</v>
      </c>
      <c r="T50" s="657">
        <f>'H Hélio'!F30</f>
        <v>2</v>
      </c>
      <c r="U50" s="657">
        <f>'H Hélio'!F31</f>
        <v>2</v>
      </c>
      <c r="V50" s="657">
        <f>'H Hélio'!F32</f>
        <v>0</v>
      </c>
      <c r="W50" s="657">
        <f>'H Hélio'!F33</f>
        <v>0</v>
      </c>
      <c r="X50" s="657">
        <f>'H Hélio'!F34</f>
        <v>0</v>
      </c>
      <c r="Y50" s="657">
        <f>'H Hélio'!F35</f>
        <v>0</v>
      </c>
      <c r="Z50" s="735">
        <f>'H Hélio'!F37</f>
        <v>3</v>
      </c>
      <c r="AA50" s="368"/>
      <c r="AB50" s="696" t="s">
        <v>12</v>
      </c>
      <c r="AC50" s="713">
        <f>'H Hélio'!F7</f>
        <v>1.002881072720001</v>
      </c>
      <c r="AD50" s="434">
        <f>'H Hélio'!F8</f>
        <v>8.1971192483440429</v>
      </c>
      <c r="AE50" s="435">
        <v>3</v>
      </c>
      <c r="AF50" s="1732"/>
      <c r="AG50" s="774"/>
      <c r="AH50" s="1773">
        <v>3</v>
      </c>
      <c r="AI50" s="440" t="s">
        <v>13</v>
      </c>
      <c r="AJ50" s="737">
        <v>24</v>
      </c>
      <c r="AK50" s="1757">
        <f t="shared" si="5"/>
        <v>4.8</v>
      </c>
      <c r="AL50" s="774"/>
      <c r="AM50" s="709"/>
      <c r="AN50" s="700" t="s">
        <v>11</v>
      </c>
      <c r="AO50" s="701"/>
      <c r="AP50" s="586"/>
      <c r="AQ50" s="702"/>
      <c r="AR50" s="695"/>
      <c r="AS50" s="40"/>
      <c r="AT50" s="40"/>
      <c r="AU50" s="40"/>
      <c r="AV50" s="40"/>
      <c r="AW50" s="40"/>
      <c r="AX50" s="40"/>
      <c r="AY50" s="40"/>
      <c r="AZ50" s="40"/>
      <c r="BA50" s="40"/>
      <c r="BB50" s="710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/>
      <c r="BZ50" s="281"/>
      <c r="CA50" s="281"/>
      <c r="CB50" s="281"/>
      <c r="CC50" s="281"/>
      <c r="CD50" s="281"/>
      <c r="CE50" s="281"/>
      <c r="CF50" s="281"/>
      <c r="CG50" s="281"/>
      <c r="CH50" s="281"/>
      <c r="CI50" s="281"/>
      <c r="CJ50" s="281"/>
      <c r="CK50" s="281"/>
      <c r="CL50" s="281"/>
      <c r="CM50" s="281"/>
      <c r="CN50" s="281"/>
      <c r="CO50" s="281"/>
      <c r="CP50" s="281"/>
      <c r="CQ50" s="281"/>
      <c r="CR50" s="281"/>
      <c r="CS50" s="281"/>
      <c r="CT50" s="281"/>
      <c r="CU50" s="281"/>
      <c r="CV50" s="281"/>
      <c r="CW50" s="281"/>
      <c r="CX50" s="281"/>
      <c r="CY50" s="281"/>
      <c r="CZ50" s="281"/>
      <c r="DA50" s="281"/>
      <c r="DB50" s="281"/>
      <c r="DC50" s="281"/>
      <c r="DD50" s="281"/>
      <c r="DE50" s="281"/>
      <c r="DF50" s="281"/>
      <c r="DG50" s="281"/>
      <c r="DH50" s="281"/>
      <c r="DI50" s="281"/>
      <c r="DJ50" s="281"/>
      <c r="DK50" s="281"/>
      <c r="DL50" s="281"/>
      <c r="DM50" s="281"/>
      <c r="DN50" s="281"/>
      <c r="DO50" s="281"/>
      <c r="DP50" s="281"/>
      <c r="DQ50" s="281"/>
      <c r="DR50" s="281"/>
      <c r="DS50" s="281"/>
      <c r="DT50" s="281"/>
      <c r="DU50" s="281"/>
      <c r="DV50" s="281"/>
      <c r="DW50" s="281"/>
      <c r="DX50" s="281"/>
      <c r="DY50" s="281"/>
      <c r="DZ50" s="281"/>
      <c r="EA50" s="281"/>
      <c r="EB50" s="281"/>
      <c r="EC50" s="281"/>
      <c r="ED50" s="281"/>
      <c r="EE50" s="281"/>
      <c r="EF50" s="281"/>
      <c r="EG50" s="281"/>
      <c r="EH50" s="281"/>
      <c r="EI50" s="281"/>
      <c r="EJ50" s="281"/>
      <c r="EK50" s="281"/>
      <c r="EL50" s="281"/>
      <c r="EM50" s="281"/>
      <c r="EN50" s="281"/>
      <c r="EO50" s="281"/>
      <c r="EP50" s="281"/>
      <c r="EQ50" s="281"/>
      <c r="ER50" s="281"/>
      <c r="ES50" s="281"/>
      <c r="ET50" s="281"/>
      <c r="EU50" s="281"/>
      <c r="EV50" s="281"/>
      <c r="EW50" s="281"/>
      <c r="EX50" s="281"/>
      <c r="EY50" s="281"/>
      <c r="EZ50" s="281"/>
      <c r="FA50" s="281"/>
      <c r="FB50" s="281"/>
      <c r="FC50" s="281"/>
      <c r="FD50" s="281"/>
      <c r="FE50" s="281"/>
      <c r="FF50" s="281"/>
      <c r="FG50" s="281"/>
      <c r="FH50" s="281"/>
      <c r="FI50" s="281"/>
      <c r="FJ50" s="281"/>
      <c r="FK50" s="281"/>
      <c r="FL50" s="281"/>
      <c r="FM50" s="281"/>
      <c r="FN50" s="281"/>
      <c r="FO50" s="281"/>
      <c r="FP50" s="281"/>
      <c r="FQ50" s="281"/>
      <c r="FR50" s="281"/>
      <c r="FS50" s="281"/>
      <c r="FT50" s="281"/>
      <c r="FU50" s="281"/>
      <c r="FV50" s="281"/>
      <c r="FW50" s="281"/>
      <c r="FX50" s="281"/>
      <c r="FY50" s="281"/>
      <c r="FZ50" s="281"/>
      <c r="GA50" s="281"/>
      <c r="GB50" s="281"/>
      <c r="GC50" s="281"/>
      <c r="GD50" s="281"/>
      <c r="GE50" s="281"/>
      <c r="GF50" s="281"/>
      <c r="GG50" s="281"/>
      <c r="GH50" s="281"/>
      <c r="GI50" s="281"/>
      <c r="GJ50" s="281"/>
      <c r="GK50" s="281"/>
      <c r="GL50" s="281"/>
      <c r="GM50" s="281"/>
      <c r="GN50" s="281"/>
      <c r="GO50" s="281"/>
      <c r="GP50" s="281"/>
      <c r="GQ50" s="281"/>
      <c r="GR50" s="281"/>
      <c r="GS50" s="281"/>
      <c r="GT50" s="281"/>
      <c r="GU50" s="281"/>
      <c r="GV50" s="281"/>
      <c r="GW50" s="281"/>
      <c r="GX50" s="281"/>
      <c r="GY50" s="281"/>
      <c r="GZ50" s="281"/>
      <c r="HA50" s="281"/>
      <c r="HB50" s="281"/>
      <c r="HC50" s="281"/>
      <c r="HD50" s="281"/>
      <c r="HE50" s="281"/>
      <c r="HF50" s="281"/>
      <c r="HG50" s="281"/>
      <c r="HH50" s="281"/>
      <c r="HI50" s="281"/>
      <c r="HJ50" s="281"/>
      <c r="HK50" s="281"/>
      <c r="HL50" s="281"/>
      <c r="HM50" s="281"/>
      <c r="HN50" s="281"/>
      <c r="HO50" s="281"/>
      <c r="HP50" s="281"/>
      <c r="HQ50" s="281"/>
      <c r="HR50" s="281"/>
      <c r="HS50" s="281"/>
      <c r="HT50" s="281"/>
      <c r="HU50" s="281"/>
      <c r="HV50" s="281"/>
      <c r="HW50" s="281"/>
      <c r="HX50" s="281"/>
      <c r="HY50" s="281"/>
      <c r="HZ50" s="281"/>
      <c r="IA50" s="281"/>
      <c r="IB50" s="281"/>
      <c r="IC50" s="281"/>
      <c r="ID50" s="281"/>
      <c r="IE50" s="281"/>
      <c r="IF50" s="281"/>
      <c r="IG50" s="281"/>
      <c r="IH50" s="281"/>
      <c r="II50" s="281"/>
      <c r="IJ50" s="281"/>
      <c r="IK50" s="281"/>
      <c r="IL50" s="281"/>
      <c r="IM50" s="281"/>
      <c r="IN50" s="281"/>
      <c r="IO50" s="281"/>
      <c r="IP50" s="282"/>
    </row>
    <row r="51" spans="1:250" ht="23" customHeight="1" x14ac:dyDescent="0.15">
      <c r="A51" s="283"/>
      <c r="B51" s="284"/>
      <c r="C51" s="313" t="s">
        <v>10</v>
      </c>
      <c r="D51" s="2463">
        <v>31.959370866149392</v>
      </c>
      <c r="E51" s="314">
        <f>100-((D51*100)/100)</f>
        <v>68.040629133850615</v>
      </c>
      <c r="F51" s="448">
        <v>4</v>
      </c>
      <c r="G51" s="288"/>
      <c r="H51" s="304" t="s">
        <v>14</v>
      </c>
      <c r="I51" s="2471">
        <v>16.092077052674995</v>
      </c>
      <c r="J51" s="365">
        <f>85-((I51*85)/100)</f>
        <v>71.32173450522626</v>
      </c>
      <c r="K51" s="366">
        <v>4</v>
      </c>
      <c r="L51" s="617"/>
      <c r="M51" s="332" t="s">
        <v>9</v>
      </c>
      <c r="N51" s="646">
        <f>'H Hélio'!C26</f>
        <v>1.2203619513559612E-2</v>
      </c>
      <c r="O51" s="586">
        <f>'H Hélio'!C27</f>
        <v>7.5395107693859469</v>
      </c>
      <c r="P51" s="604">
        <v>4</v>
      </c>
      <c r="Q51" s="617"/>
      <c r="R51" s="332" t="s">
        <v>9</v>
      </c>
      <c r="S51" s="580">
        <f>'H Hélio'!C29</f>
        <v>1</v>
      </c>
      <c r="T51" s="580">
        <f>'H Hélio'!C30</f>
        <v>2</v>
      </c>
      <c r="U51" s="580">
        <f>'H Hélio'!C31</f>
        <v>2</v>
      </c>
      <c r="V51" s="580">
        <f>'H Hélio'!C32</f>
        <v>0</v>
      </c>
      <c r="W51" s="580">
        <f>'H Hélio'!C33</f>
        <v>0</v>
      </c>
      <c r="X51" s="580">
        <f>'H Hélio'!C34</f>
        <v>0</v>
      </c>
      <c r="Y51" s="580">
        <f>'H Hélio'!C35</f>
        <v>0</v>
      </c>
      <c r="Z51" s="1535">
        <f>'H Hélio'!C37</f>
        <v>4</v>
      </c>
      <c r="AA51" s="386"/>
      <c r="AB51" s="449" t="s">
        <v>11</v>
      </c>
      <c r="AC51" s="2460">
        <f>'H Hélio'!E7</f>
        <v>1.6187619158459938</v>
      </c>
      <c r="AD51" s="468">
        <f>'H Hélio'!E8</f>
        <v>7.8150638832878396</v>
      </c>
      <c r="AE51" s="469">
        <v>4</v>
      </c>
      <c r="AF51" s="1733"/>
      <c r="AG51" s="773"/>
      <c r="AH51" s="1771">
        <v>4</v>
      </c>
      <c r="AI51" s="718" t="s">
        <v>12</v>
      </c>
      <c r="AJ51" s="536">
        <v>27</v>
      </c>
      <c r="AK51" s="1754">
        <f t="shared" si="5"/>
        <v>5.4</v>
      </c>
      <c r="AL51" s="773"/>
      <c r="AM51" s="714"/>
      <c r="AN51" s="715" t="s">
        <v>12</v>
      </c>
      <c r="AO51" s="701"/>
      <c r="AP51" s="586"/>
      <c r="AQ51" s="702"/>
      <c r="AR51" s="695"/>
      <c r="AS51" s="40"/>
      <c r="AT51" s="40"/>
      <c r="AU51" s="40"/>
      <c r="AV51" s="40"/>
      <c r="AW51" s="40"/>
      <c r="AX51" s="40"/>
      <c r="AY51" s="40"/>
      <c r="AZ51" s="40"/>
      <c r="BA51" s="40"/>
      <c r="BB51" s="716"/>
      <c r="BC51" s="281"/>
      <c r="BD51" s="281"/>
      <c r="BE51" s="281"/>
      <c r="BF51" s="281"/>
      <c r="BG51" s="281"/>
      <c r="BH51" s="281"/>
      <c r="BI51" s="281"/>
      <c r="BJ51" s="281"/>
      <c r="BK51" s="281"/>
      <c r="BL51" s="281"/>
      <c r="BM51" s="281"/>
      <c r="BN51" s="281"/>
      <c r="BO51" s="281"/>
      <c r="BP51" s="281"/>
      <c r="BQ51" s="281"/>
      <c r="BR51" s="281"/>
      <c r="BS51" s="281"/>
      <c r="BT51" s="281"/>
      <c r="BU51" s="281"/>
      <c r="BV51" s="281"/>
      <c r="BW51" s="281"/>
      <c r="BX51" s="281"/>
      <c r="BY51" s="281"/>
      <c r="BZ51" s="281"/>
      <c r="CA51" s="281"/>
      <c r="CB51" s="281"/>
      <c r="CC51" s="281"/>
      <c r="CD51" s="281"/>
      <c r="CE51" s="281"/>
      <c r="CF51" s="281"/>
      <c r="CG51" s="281"/>
      <c r="CH51" s="281"/>
      <c r="CI51" s="281"/>
      <c r="CJ51" s="281"/>
      <c r="CK51" s="281"/>
      <c r="CL51" s="281"/>
      <c r="CM51" s="281"/>
      <c r="CN51" s="281"/>
      <c r="CO51" s="281"/>
      <c r="CP51" s="281"/>
      <c r="CQ51" s="281"/>
      <c r="CR51" s="281"/>
      <c r="CS51" s="281"/>
      <c r="CT51" s="281"/>
      <c r="CU51" s="281"/>
      <c r="CV51" s="281"/>
      <c r="CW51" s="281"/>
      <c r="CX51" s="281"/>
      <c r="CY51" s="281"/>
      <c r="CZ51" s="281"/>
      <c r="DA51" s="281"/>
      <c r="DB51" s="281"/>
      <c r="DC51" s="281"/>
      <c r="DD51" s="281"/>
      <c r="DE51" s="281"/>
      <c r="DF51" s="281"/>
      <c r="DG51" s="281"/>
      <c r="DH51" s="281"/>
      <c r="DI51" s="281"/>
      <c r="DJ51" s="281"/>
      <c r="DK51" s="281"/>
      <c r="DL51" s="281"/>
      <c r="DM51" s="281"/>
      <c r="DN51" s="281"/>
      <c r="DO51" s="281"/>
      <c r="DP51" s="281"/>
      <c r="DQ51" s="281"/>
      <c r="DR51" s="281"/>
      <c r="DS51" s="281"/>
      <c r="DT51" s="281"/>
      <c r="DU51" s="281"/>
      <c r="DV51" s="281"/>
      <c r="DW51" s="281"/>
      <c r="DX51" s="281"/>
      <c r="DY51" s="281"/>
      <c r="DZ51" s="281"/>
      <c r="EA51" s="281"/>
      <c r="EB51" s="281"/>
      <c r="EC51" s="281"/>
      <c r="ED51" s="281"/>
      <c r="EE51" s="281"/>
      <c r="EF51" s="281"/>
      <c r="EG51" s="281"/>
      <c r="EH51" s="281"/>
      <c r="EI51" s="281"/>
      <c r="EJ51" s="281"/>
      <c r="EK51" s="281"/>
      <c r="EL51" s="281"/>
      <c r="EM51" s="281"/>
      <c r="EN51" s="281"/>
      <c r="EO51" s="281"/>
      <c r="EP51" s="281"/>
      <c r="EQ51" s="281"/>
      <c r="ER51" s="281"/>
      <c r="ES51" s="281"/>
      <c r="ET51" s="281"/>
      <c r="EU51" s="281"/>
      <c r="EV51" s="281"/>
      <c r="EW51" s="281"/>
      <c r="EX51" s="281"/>
      <c r="EY51" s="281"/>
      <c r="EZ51" s="281"/>
      <c r="FA51" s="281"/>
      <c r="FB51" s="281"/>
      <c r="FC51" s="281"/>
      <c r="FD51" s="281"/>
      <c r="FE51" s="281"/>
      <c r="FF51" s="281"/>
      <c r="FG51" s="281"/>
      <c r="FH51" s="281"/>
      <c r="FI51" s="281"/>
      <c r="FJ51" s="281"/>
      <c r="FK51" s="281"/>
      <c r="FL51" s="281"/>
      <c r="FM51" s="281"/>
      <c r="FN51" s="281"/>
      <c r="FO51" s="281"/>
      <c r="FP51" s="281"/>
      <c r="FQ51" s="281"/>
      <c r="FR51" s="281"/>
      <c r="FS51" s="281"/>
      <c r="FT51" s="281"/>
      <c r="FU51" s="281"/>
      <c r="FV51" s="281"/>
      <c r="FW51" s="281"/>
      <c r="FX51" s="281"/>
      <c r="FY51" s="281"/>
      <c r="FZ51" s="281"/>
      <c r="GA51" s="281"/>
      <c r="GB51" s="281"/>
      <c r="GC51" s="281"/>
      <c r="GD51" s="281"/>
      <c r="GE51" s="281"/>
      <c r="GF51" s="281"/>
      <c r="GG51" s="281"/>
      <c r="GH51" s="281"/>
      <c r="GI51" s="281"/>
      <c r="GJ51" s="281"/>
      <c r="GK51" s="281"/>
      <c r="GL51" s="281"/>
      <c r="GM51" s="281"/>
      <c r="GN51" s="281"/>
      <c r="GO51" s="281"/>
      <c r="GP51" s="281"/>
      <c r="GQ51" s="281"/>
      <c r="GR51" s="281"/>
      <c r="GS51" s="281"/>
      <c r="GT51" s="281"/>
      <c r="GU51" s="281"/>
      <c r="GV51" s="281"/>
      <c r="GW51" s="281"/>
      <c r="GX51" s="281"/>
      <c r="GY51" s="281"/>
      <c r="GZ51" s="281"/>
      <c r="HA51" s="281"/>
      <c r="HB51" s="281"/>
      <c r="HC51" s="281"/>
      <c r="HD51" s="281"/>
      <c r="HE51" s="281"/>
      <c r="HF51" s="281"/>
      <c r="HG51" s="281"/>
      <c r="HH51" s="281"/>
      <c r="HI51" s="281"/>
      <c r="HJ51" s="281"/>
      <c r="HK51" s="281"/>
      <c r="HL51" s="281"/>
      <c r="HM51" s="281"/>
      <c r="HN51" s="281"/>
      <c r="HO51" s="281"/>
      <c r="HP51" s="281"/>
      <c r="HQ51" s="281"/>
      <c r="HR51" s="281"/>
      <c r="HS51" s="281"/>
      <c r="HT51" s="281"/>
      <c r="HU51" s="281"/>
      <c r="HV51" s="281"/>
      <c r="HW51" s="281"/>
      <c r="HX51" s="281"/>
      <c r="HY51" s="281"/>
      <c r="HZ51" s="281"/>
      <c r="IA51" s="281"/>
      <c r="IB51" s="281"/>
      <c r="IC51" s="281"/>
      <c r="ID51" s="281"/>
      <c r="IE51" s="281"/>
      <c r="IF51" s="281"/>
      <c r="IG51" s="281"/>
      <c r="IH51" s="281"/>
      <c r="II51" s="281"/>
      <c r="IJ51" s="281"/>
      <c r="IK51" s="281"/>
      <c r="IL51" s="281"/>
      <c r="IM51" s="281"/>
      <c r="IN51" s="281"/>
      <c r="IO51" s="281"/>
      <c r="IP51" s="282"/>
    </row>
    <row r="52" spans="1:250" ht="23" customHeight="1" x14ac:dyDescent="0.15">
      <c r="A52" s="283"/>
      <c r="B52" s="284"/>
      <c r="C52" s="335" t="s">
        <v>17</v>
      </c>
      <c r="D52" s="2468">
        <v>27.580418858490248</v>
      </c>
      <c r="E52" s="400">
        <f>85-((D52*85)/100)</f>
        <v>61.556643970283289</v>
      </c>
      <c r="F52" s="401">
        <v>5</v>
      </c>
      <c r="G52" s="288"/>
      <c r="H52" s="335" t="s">
        <v>17</v>
      </c>
      <c r="I52" s="2040">
        <v>21.257726379733015</v>
      </c>
      <c r="J52" s="400">
        <f>90-((I52*90)/100)</f>
        <v>70.868046258240284</v>
      </c>
      <c r="K52" s="401">
        <v>5</v>
      </c>
      <c r="L52" s="630"/>
      <c r="M52" s="696" t="s">
        <v>12</v>
      </c>
      <c r="N52" s="638">
        <f>'H Hélio'!F26</f>
        <v>1.0179733050938751</v>
      </c>
      <c r="O52" s="434">
        <f>'H Hélio'!F27</f>
        <v>7.0247478582990199</v>
      </c>
      <c r="P52" s="435">
        <v>5</v>
      </c>
      <c r="Q52" s="630"/>
      <c r="R52" s="335" t="s">
        <v>17</v>
      </c>
      <c r="S52" s="531">
        <f>'H Hélio'!K29</f>
        <v>1</v>
      </c>
      <c r="T52" s="531">
        <f>'H Hélio'!K30</f>
        <v>0</v>
      </c>
      <c r="U52" s="531">
        <f>'H Hélio'!K31</f>
        <v>2</v>
      </c>
      <c r="V52" s="531">
        <f>'H Hélio'!K32</f>
        <v>1</v>
      </c>
      <c r="W52" s="531">
        <f>'H Hélio'!K33</f>
        <v>1</v>
      </c>
      <c r="X52" s="531">
        <f>'H Hélio'!K34</f>
        <v>1</v>
      </c>
      <c r="Y52" s="531">
        <f>'H Hélio'!K35</f>
        <v>0</v>
      </c>
      <c r="Z52" s="2025">
        <f>'H Hélio'!K37</f>
        <v>5</v>
      </c>
      <c r="AA52" s="403"/>
      <c r="AB52" s="332" t="s">
        <v>9</v>
      </c>
      <c r="AC52" s="732">
        <f>'H Hélio'!C7</f>
        <v>1.0104234428440009</v>
      </c>
      <c r="AD52" s="586">
        <f>'H Hélio'!C8</f>
        <v>7.0319315115873708</v>
      </c>
      <c r="AE52" s="604">
        <v>5</v>
      </c>
      <c r="AF52" s="1734"/>
      <c r="AG52" s="781"/>
      <c r="AH52" s="1772">
        <v>5</v>
      </c>
      <c r="AI52" s="542" t="s">
        <v>11</v>
      </c>
      <c r="AJ52" s="551">
        <v>29</v>
      </c>
      <c r="AK52" s="1759">
        <f t="shared" si="5"/>
        <v>5.8</v>
      </c>
      <c r="AL52" s="781"/>
      <c r="AM52" s="719"/>
      <c r="AN52" s="700" t="s">
        <v>13</v>
      </c>
      <c r="AO52" s="720"/>
      <c r="AP52" s="586"/>
      <c r="AQ52" s="702"/>
      <c r="AR52" s="695"/>
      <c r="AS52" s="40"/>
      <c r="AT52" s="40"/>
      <c r="AU52" s="40"/>
      <c r="AV52" s="40"/>
      <c r="AW52" s="40"/>
      <c r="AX52" s="40"/>
      <c r="AY52" s="40"/>
      <c r="AZ52" s="40"/>
      <c r="BA52" s="40"/>
      <c r="BB52" s="72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1"/>
      <c r="CC52" s="281"/>
      <c r="CD52" s="281"/>
      <c r="CE52" s="281"/>
      <c r="CF52" s="281"/>
      <c r="CG52" s="281"/>
      <c r="CH52" s="281"/>
      <c r="CI52" s="281"/>
      <c r="CJ52" s="281"/>
      <c r="CK52" s="281"/>
      <c r="CL52" s="281"/>
      <c r="CM52" s="281"/>
      <c r="CN52" s="281"/>
      <c r="CO52" s="281"/>
      <c r="CP52" s="281"/>
      <c r="CQ52" s="281"/>
      <c r="CR52" s="281"/>
      <c r="CS52" s="281"/>
      <c r="CT52" s="281"/>
      <c r="CU52" s="281"/>
      <c r="CV52" s="281"/>
      <c r="CW52" s="281"/>
      <c r="CX52" s="281"/>
      <c r="CY52" s="281"/>
      <c r="CZ52" s="281"/>
      <c r="DA52" s="281"/>
      <c r="DB52" s="281"/>
      <c r="DC52" s="281"/>
      <c r="DD52" s="281"/>
      <c r="DE52" s="281"/>
      <c r="DF52" s="281"/>
      <c r="DG52" s="281"/>
      <c r="DH52" s="281"/>
      <c r="DI52" s="281"/>
      <c r="DJ52" s="281"/>
      <c r="DK52" s="281"/>
      <c r="DL52" s="281"/>
      <c r="DM52" s="281"/>
      <c r="DN52" s="281"/>
      <c r="DO52" s="281"/>
      <c r="DP52" s="281"/>
      <c r="DQ52" s="281"/>
      <c r="DR52" s="281"/>
      <c r="DS52" s="281"/>
      <c r="DT52" s="281"/>
      <c r="DU52" s="281"/>
      <c r="DV52" s="281"/>
      <c r="DW52" s="281"/>
      <c r="DX52" s="281"/>
      <c r="DY52" s="281"/>
      <c r="DZ52" s="281"/>
      <c r="EA52" s="281"/>
      <c r="EB52" s="281"/>
      <c r="EC52" s="281"/>
      <c r="ED52" s="281"/>
      <c r="EE52" s="281"/>
      <c r="EF52" s="281"/>
      <c r="EG52" s="281"/>
      <c r="EH52" s="281"/>
      <c r="EI52" s="281"/>
      <c r="EJ52" s="281"/>
      <c r="EK52" s="281"/>
      <c r="EL52" s="281"/>
      <c r="EM52" s="281"/>
      <c r="EN52" s="281"/>
      <c r="EO52" s="281"/>
      <c r="EP52" s="281"/>
      <c r="EQ52" s="281"/>
      <c r="ER52" s="281"/>
      <c r="ES52" s="281"/>
      <c r="ET52" s="281"/>
      <c r="EU52" s="281"/>
      <c r="EV52" s="281"/>
      <c r="EW52" s="281"/>
      <c r="EX52" s="281"/>
      <c r="EY52" s="281"/>
      <c r="EZ52" s="281"/>
      <c r="FA52" s="281"/>
      <c r="FB52" s="281"/>
      <c r="FC52" s="281"/>
      <c r="FD52" s="281"/>
      <c r="FE52" s="281"/>
      <c r="FF52" s="281"/>
      <c r="FG52" s="281"/>
      <c r="FH52" s="281"/>
      <c r="FI52" s="281"/>
      <c r="FJ52" s="281"/>
      <c r="FK52" s="281"/>
      <c r="FL52" s="281"/>
      <c r="FM52" s="281"/>
      <c r="FN52" s="281"/>
      <c r="FO52" s="281"/>
      <c r="FP52" s="281"/>
      <c r="FQ52" s="281"/>
      <c r="FR52" s="281"/>
      <c r="FS52" s="281"/>
      <c r="FT52" s="281"/>
      <c r="FU52" s="281"/>
      <c r="FV52" s="281"/>
      <c r="FW52" s="281"/>
      <c r="FX52" s="281"/>
      <c r="FY52" s="281"/>
      <c r="FZ52" s="281"/>
      <c r="GA52" s="281"/>
      <c r="GB52" s="281"/>
      <c r="GC52" s="281"/>
      <c r="GD52" s="281"/>
      <c r="GE52" s="281"/>
      <c r="GF52" s="281"/>
      <c r="GG52" s="281"/>
      <c r="GH52" s="281"/>
      <c r="GI52" s="281"/>
      <c r="GJ52" s="281"/>
      <c r="GK52" s="281"/>
      <c r="GL52" s="281"/>
      <c r="GM52" s="281"/>
      <c r="GN52" s="281"/>
      <c r="GO52" s="281"/>
      <c r="GP52" s="281"/>
      <c r="GQ52" s="281"/>
      <c r="GR52" s="281"/>
      <c r="GS52" s="281"/>
      <c r="GT52" s="281"/>
      <c r="GU52" s="281"/>
      <c r="GV52" s="281"/>
      <c r="GW52" s="281"/>
      <c r="GX52" s="281"/>
      <c r="GY52" s="281"/>
      <c r="GZ52" s="281"/>
      <c r="HA52" s="281"/>
      <c r="HB52" s="281"/>
      <c r="HC52" s="281"/>
      <c r="HD52" s="281"/>
      <c r="HE52" s="281"/>
      <c r="HF52" s="281"/>
      <c r="HG52" s="281"/>
      <c r="HH52" s="281"/>
      <c r="HI52" s="281"/>
      <c r="HJ52" s="281"/>
      <c r="HK52" s="281"/>
      <c r="HL52" s="281"/>
      <c r="HM52" s="281"/>
      <c r="HN52" s="281"/>
      <c r="HO52" s="281"/>
      <c r="HP52" s="281"/>
      <c r="HQ52" s="281"/>
      <c r="HR52" s="281"/>
      <c r="HS52" s="281"/>
      <c r="HT52" s="281"/>
      <c r="HU52" s="281"/>
      <c r="HV52" s="281"/>
      <c r="HW52" s="281"/>
      <c r="HX52" s="281"/>
      <c r="HY52" s="281"/>
      <c r="HZ52" s="281"/>
      <c r="IA52" s="281"/>
      <c r="IB52" s="281"/>
      <c r="IC52" s="281"/>
      <c r="ID52" s="281"/>
      <c r="IE52" s="281"/>
      <c r="IF52" s="281"/>
      <c r="IG52" s="281"/>
      <c r="IH52" s="281"/>
      <c r="II52" s="281"/>
      <c r="IJ52" s="281"/>
      <c r="IK52" s="281"/>
      <c r="IL52" s="281"/>
      <c r="IM52" s="281"/>
      <c r="IN52" s="281"/>
      <c r="IO52" s="281"/>
      <c r="IP52" s="282"/>
    </row>
    <row r="53" spans="1:250" ht="23" customHeight="1" x14ac:dyDescent="0.15">
      <c r="A53" s="283"/>
      <c r="B53" s="284"/>
      <c r="C53" s="696" t="s">
        <v>12</v>
      </c>
      <c r="D53" s="2464">
        <v>31.152428988650001</v>
      </c>
      <c r="E53" s="434">
        <f>85-((D53*85)/100)</f>
        <v>58.5204353596475</v>
      </c>
      <c r="F53" s="435">
        <v>6</v>
      </c>
      <c r="G53" s="288"/>
      <c r="H53" s="307" t="s">
        <v>15</v>
      </c>
      <c r="I53" s="2472">
        <v>35.819776628773013</v>
      </c>
      <c r="J53" s="309">
        <f>90-((I53*90)/100)</f>
        <v>57.762201034104287</v>
      </c>
      <c r="K53" s="310">
        <v>6</v>
      </c>
      <c r="L53" s="639"/>
      <c r="M53" s="11" t="s">
        <v>13</v>
      </c>
      <c r="N53" s="22">
        <f>'H Hélio'!G26</f>
        <v>4.8397420750531092E-2</v>
      </c>
      <c r="O53" s="502">
        <f>'H Hélio'!G27</f>
        <v>5.0629412599131509</v>
      </c>
      <c r="P53" s="503">
        <v>6</v>
      </c>
      <c r="Q53" s="639"/>
      <c r="R53" s="413" t="s">
        <v>16</v>
      </c>
      <c r="S53" s="538">
        <f>'H Hélio'!J29</f>
        <v>1</v>
      </c>
      <c r="T53" s="538">
        <f>'H Hélio'!J30</f>
        <v>0</v>
      </c>
      <c r="U53" s="538">
        <f>'H Hélio'!J31</f>
        <v>2</v>
      </c>
      <c r="V53" s="538">
        <f>'H Hélio'!J32</f>
        <v>0</v>
      </c>
      <c r="W53" s="538">
        <f>'H Hélio'!J33</f>
        <v>1</v>
      </c>
      <c r="X53" s="538">
        <f>'H Hélio'!J34</f>
        <v>1</v>
      </c>
      <c r="Y53" s="538">
        <f>'H Hélio'!J35</f>
        <v>0</v>
      </c>
      <c r="Z53" s="723">
        <f>'H Hélio'!J37</f>
        <v>6</v>
      </c>
      <c r="AA53" s="420"/>
      <c r="AB53" s="335" t="s">
        <v>17</v>
      </c>
      <c r="AC53" s="717">
        <f>'H Hélio'!K7</f>
        <v>5.9880562440071117E-3</v>
      </c>
      <c r="AD53" s="400">
        <f>'H Hélio'!K8</f>
        <v>5.2103161928566752</v>
      </c>
      <c r="AE53" s="401">
        <v>6</v>
      </c>
      <c r="AF53" s="1735"/>
      <c r="AG53" s="739"/>
      <c r="AH53" s="1774">
        <v>6</v>
      </c>
      <c r="AI53" s="579" t="s">
        <v>9</v>
      </c>
      <c r="AJ53" s="724">
        <v>29</v>
      </c>
      <c r="AK53" s="1775">
        <f t="shared" si="5"/>
        <v>5.8</v>
      </c>
      <c r="AL53" s="739"/>
      <c r="AM53" s="725"/>
      <c r="AN53" s="700" t="s">
        <v>14</v>
      </c>
      <c r="AO53" s="701"/>
      <c r="AP53" s="586"/>
      <c r="AQ53" s="702"/>
      <c r="AR53" s="695"/>
      <c r="AS53" s="40"/>
      <c r="AT53" s="40"/>
      <c r="AU53" s="40"/>
      <c r="AV53" s="40"/>
      <c r="AW53" s="40"/>
      <c r="AX53" s="40"/>
      <c r="AY53" s="40"/>
      <c r="AZ53" s="40"/>
      <c r="BA53" s="40"/>
      <c r="BB53" s="726"/>
      <c r="BC53" s="281"/>
      <c r="BD53" s="281"/>
      <c r="BE53" s="281"/>
      <c r="BF53" s="281"/>
      <c r="BG53" s="281"/>
      <c r="BH53" s="281"/>
      <c r="BI53" s="281"/>
      <c r="BJ53" s="281"/>
      <c r="BK53" s="281"/>
      <c r="BL53" s="281"/>
      <c r="BM53" s="281"/>
      <c r="BN53" s="281"/>
      <c r="BO53" s="281"/>
      <c r="BP53" s="281"/>
      <c r="BQ53" s="281"/>
      <c r="BR53" s="281"/>
      <c r="BS53" s="281"/>
      <c r="BT53" s="281"/>
      <c r="BU53" s="281"/>
      <c r="BV53" s="281"/>
      <c r="BW53" s="281"/>
      <c r="BX53" s="281"/>
      <c r="BY53" s="281"/>
      <c r="BZ53" s="281"/>
      <c r="CA53" s="281"/>
      <c r="CB53" s="281"/>
      <c r="CC53" s="281"/>
      <c r="CD53" s="281"/>
      <c r="CE53" s="281"/>
      <c r="CF53" s="281"/>
      <c r="CG53" s="281"/>
      <c r="CH53" s="281"/>
      <c r="CI53" s="281"/>
      <c r="CJ53" s="281"/>
      <c r="CK53" s="281"/>
      <c r="CL53" s="281"/>
      <c r="CM53" s="281"/>
      <c r="CN53" s="281"/>
      <c r="CO53" s="281"/>
      <c r="CP53" s="281"/>
      <c r="CQ53" s="281"/>
      <c r="CR53" s="281"/>
      <c r="CS53" s="281"/>
      <c r="CT53" s="281"/>
      <c r="CU53" s="281"/>
      <c r="CV53" s="281"/>
      <c r="CW53" s="281"/>
      <c r="CX53" s="281"/>
      <c r="CY53" s="281"/>
      <c r="CZ53" s="281"/>
      <c r="DA53" s="281"/>
      <c r="DB53" s="281"/>
      <c r="DC53" s="281"/>
      <c r="DD53" s="281"/>
      <c r="DE53" s="281"/>
      <c r="DF53" s="281"/>
      <c r="DG53" s="281"/>
      <c r="DH53" s="281"/>
      <c r="DI53" s="281"/>
      <c r="DJ53" s="281"/>
      <c r="DK53" s="281"/>
      <c r="DL53" s="281"/>
      <c r="DM53" s="281"/>
      <c r="DN53" s="281"/>
      <c r="DO53" s="281"/>
      <c r="DP53" s="281"/>
      <c r="DQ53" s="281"/>
      <c r="DR53" s="281"/>
      <c r="DS53" s="281"/>
      <c r="DT53" s="281"/>
      <c r="DU53" s="281"/>
      <c r="DV53" s="281"/>
      <c r="DW53" s="281"/>
      <c r="DX53" s="281"/>
      <c r="DY53" s="281"/>
      <c r="DZ53" s="281"/>
      <c r="EA53" s="281"/>
      <c r="EB53" s="281"/>
      <c r="EC53" s="281"/>
      <c r="ED53" s="281"/>
      <c r="EE53" s="281"/>
      <c r="EF53" s="281"/>
      <c r="EG53" s="281"/>
      <c r="EH53" s="281"/>
      <c r="EI53" s="281"/>
      <c r="EJ53" s="281"/>
      <c r="EK53" s="281"/>
      <c r="EL53" s="281"/>
      <c r="EM53" s="281"/>
      <c r="EN53" s="281"/>
      <c r="EO53" s="281"/>
      <c r="EP53" s="281"/>
      <c r="EQ53" s="281"/>
      <c r="ER53" s="281"/>
      <c r="ES53" s="281"/>
      <c r="ET53" s="281"/>
      <c r="EU53" s="281"/>
      <c r="EV53" s="281"/>
      <c r="EW53" s="281"/>
      <c r="EX53" s="281"/>
      <c r="EY53" s="281"/>
      <c r="EZ53" s="281"/>
      <c r="FA53" s="281"/>
      <c r="FB53" s="281"/>
      <c r="FC53" s="281"/>
      <c r="FD53" s="281"/>
      <c r="FE53" s="281"/>
      <c r="FF53" s="281"/>
      <c r="FG53" s="281"/>
      <c r="FH53" s="281"/>
      <c r="FI53" s="281"/>
      <c r="FJ53" s="281"/>
      <c r="FK53" s="281"/>
      <c r="FL53" s="281"/>
      <c r="FM53" s="281"/>
      <c r="FN53" s="281"/>
      <c r="FO53" s="281"/>
      <c r="FP53" s="281"/>
      <c r="FQ53" s="281"/>
      <c r="FR53" s="281"/>
      <c r="FS53" s="281"/>
      <c r="FT53" s="281"/>
      <c r="FU53" s="281"/>
      <c r="FV53" s="281"/>
      <c r="FW53" s="281"/>
      <c r="FX53" s="281"/>
      <c r="FY53" s="281"/>
      <c r="FZ53" s="281"/>
      <c r="GA53" s="281"/>
      <c r="GB53" s="281"/>
      <c r="GC53" s="281"/>
      <c r="GD53" s="281"/>
      <c r="GE53" s="281"/>
      <c r="GF53" s="281"/>
      <c r="GG53" s="281"/>
      <c r="GH53" s="281"/>
      <c r="GI53" s="281"/>
      <c r="GJ53" s="281"/>
      <c r="GK53" s="281"/>
      <c r="GL53" s="281"/>
      <c r="GM53" s="281"/>
      <c r="GN53" s="281"/>
      <c r="GO53" s="281"/>
      <c r="GP53" s="281"/>
      <c r="GQ53" s="281"/>
      <c r="GR53" s="281"/>
      <c r="GS53" s="281"/>
      <c r="GT53" s="281"/>
      <c r="GU53" s="281"/>
      <c r="GV53" s="281"/>
      <c r="GW53" s="281"/>
      <c r="GX53" s="281"/>
      <c r="GY53" s="281"/>
      <c r="GZ53" s="281"/>
      <c r="HA53" s="281"/>
      <c r="HB53" s="281"/>
      <c r="HC53" s="281"/>
      <c r="HD53" s="281"/>
      <c r="HE53" s="281"/>
      <c r="HF53" s="281"/>
      <c r="HG53" s="281"/>
      <c r="HH53" s="281"/>
      <c r="HI53" s="281"/>
      <c r="HJ53" s="281"/>
      <c r="HK53" s="281"/>
      <c r="HL53" s="281"/>
      <c r="HM53" s="281"/>
      <c r="HN53" s="281"/>
      <c r="HO53" s="281"/>
      <c r="HP53" s="281"/>
      <c r="HQ53" s="281"/>
      <c r="HR53" s="281"/>
      <c r="HS53" s="281"/>
      <c r="HT53" s="281"/>
      <c r="HU53" s="281"/>
      <c r="HV53" s="281"/>
      <c r="HW53" s="281"/>
      <c r="HX53" s="281"/>
      <c r="HY53" s="281"/>
      <c r="HZ53" s="281"/>
      <c r="IA53" s="281"/>
      <c r="IB53" s="281"/>
      <c r="IC53" s="281"/>
      <c r="ID53" s="281"/>
      <c r="IE53" s="281"/>
      <c r="IF53" s="281"/>
      <c r="IG53" s="281"/>
      <c r="IH53" s="281"/>
      <c r="II53" s="281"/>
      <c r="IJ53" s="281"/>
      <c r="IK53" s="281"/>
      <c r="IL53" s="281"/>
      <c r="IM53" s="281"/>
      <c r="IN53" s="281"/>
      <c r="IO53" s="281"/>
      <c r="IP53" s="282"/>
    </row>
    <row r="54" spans="1:250" ht="21" customHeight="1" x14ac:dyDescent="0.15">
      <c r="A54" s="283"/>
      <c r="B54" s="284"/>
      <c r="C54" s="332" t="s">
        <v>9</v>
      </c>
      <c r="D54" s="2462">
        <v>31.296474029122997</v>
      </c>
      <c r="E54" s="586">
        <f>85-((D54*85)/100)</f>
        <v>58.397997075245456</v>
      </c>
      <c r="F54" s="604">
        <v>7</v>
      </c>
      <c r="G54" s="288"/>
      <c r="H54" s="413" t="s">
        <v>16</v>
      </c>
      <c r="I54" s="2473">
        <v>37.542187893200918</v>
      </c>
      <c r="J54" s="438">
        <f>90-((I54*90)/100)</f>
        <v>56.212030896119174</v>
      </c>
      <c r="K54" s="530">
        <v>7</v>
      </c>
      <c r="L54" s="645"/>
      <c r="M54" s="307" t="s">
        <v>15</v>
      </c>
      <c r="N54" s="407">
        <f>'H Hélio'!I26</f>
        <v>0.992486698897875</v>
      </c>
      <c r="O54" s="309">
        <f>'H Hélio'!I27</f>
        <v>2.9459535320670538</v>
      </c>
      <c r="P54" s="310">
        <v>7</v>
      </c>
      <c r="Q54" s="645"/>
      <c r="R54" s="11" t="s">
        <v>13</v>
      </c>
      <c r="S54" s="517">
        <f>'H Hélio'!G29</f>
        <v>1</v>
      </c>
      <c r="T54" s="517">
        <f>'H Hélio'!G30</f>
        <v>0</v>
      </c>
      <c r="U54" s="517">
        <f>'H Hélio'!G31</f>
        <v>0</v>
      </c>
      <c r="V54" s="517">
        <f>'H Hélio'!G32</f>
        <v>0</v>
      </c>
      <c r="W54" s="517">
        <f>'H Hélio'!G33</f>
        <v>1</v>
      </c>
      <c r="X54" s="517">
        <f>'H Hélio'!G34</f>
        <v>2</v>
      </c>
      <c r="Y54" s="517">
        <f>'H Hélio'!G35</f>
        <v>0</v>
      </c>
      <c r="Z54" s="2455">
        <f>'H Hélio'!G37</f>
        <v>7</v>
      </c>
      <c r="AA54" s="437"/>
      <c r="AB54" s="11" t="s">
        <v>13</v>
      </c>
      <c r="AC54" s="736">
        <f>'H Hélio'!G7</f>
        <v>0.53229911829498633</v>
      </c>
      <c r="AD54" s="502">
        <f>'H Hélio'!G8</f>
        <v>4.8218836431698673</v>
      </c>
      <c r="AE54" s="503">
        <v>7</v>
      </c>
      <c r="AF54" s="1736"/>
      <c r="AG54" s="1740"/>
      <c r="AH54" s="1946">
        <v>7</v>
      </c>
      <c r="AI54" s="387" t="s">
        <v>17</v>
      </c>
      <c r="AJ54" s="504">
        <v>29</v>
      </c>
      <c r="AK54" s="1765">
        <f t="shared" si="5"/>
        <v>5.8</v>
      </c>
      <c r="AL54" s="1740"/>
      <c r="AM54" s="729"/>
      <c r="AN54" s="700" t="s">
        <v>15</v>
      </c>
      <c r="AO54" s="720"/>
      <c r="AP54" s="586"/>
      <c r="AQ54" s="702"/>
      <c r="AR54" s="695"/>
      <c r="AS54" s="224" t="s">
        <v>185</v>
      </c>
      <c r="AT54" s="40"/>
      <c r="AU54" s="40"/>
      <c r="AV54" s="40"/>
      <c r="AW54" s="40"/>
      <c r="AX54" s="40"/>
      <c r="AY54" s="40"/>
      <c r="AZ54" s="40"/>
      <c r="BA54" s="40"/>
      <c r="BB54" s="730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1"/>
      <c r="CC54" s="281"/>
      <c r="CD54" s="281"/>
      <c r="CE54" s="281"/>
      <c r="CF54" s="281"/>
      <c r="CG54" s="281"/>
      <c r="CH54" s="281"/>
      <c r="CI54" s="281"/>
      <c r="CJ54" s="281"/>
      <c r="CK54" s="281"/>
      <c r="CL54" s="281"/>
      <c r="CM54" s="281"/>
      <c r="CN54" s="281"/>
      <c r="CO54" s="281"/>
      <c r="CP54" s="281"/>
      <c r="CQ54" s="281"/>
      <c r="CR54" s="281"/>
      <c r="CS54" s="281"/>
      <c r="CT54" s="281"/>
      <c r="CU54" s="281"/>
      <c r="CV54" s="281"/>
      <c r="CW54" s="281"/>
      <c r="CX54" s="281"/>
      <c r="CY54" s="281"/>
      <c r="CZ54" s="281"/>
      <c r="DA54" s="281"/>
      <c r="DB54" s="281"/>
      <c r="DC54" s="281"/>
      <c r="DD54" s="281"/>
      <c r="DE54" s="281"/>
      <c r="DF54" s="281"/>
      <c r="DG54" s="281"/>
      <c r="DH54" s="281"/>
      <c r="DI54" s="281"/>
      <c r="DJ54" s="281"/>
      <c r="DK54" s="281"/>
      <c r="DL54" s="281"/>
      <c r="DM54" s="281"/>
      <c r="DN54" s="281"/>
      <c r="DO54" s="281"/>
      <c r="DP54" s="281"/>
      <c r="DQ54" s="281"/>
      <c r="DR54" s="281"/>
      <c r="DS54" s="281"/>
      <c r="DT54" s="281"/>
      <c r="DU54" s="281"/>
      <c r="DV54" s="281"/>
      <c r="DW54" s="281"/>
      <c r="DX54" s="281"/>
      <c r="DY54" s="281"/>
      <c r="DZ54" s="281"/>
      <c r="EA54" s="281"/>
      <c r="EB54" s="281"/>
      <c r="EC54" s="281"/>
      <c r="ED54" s="281"/>
      <c r="EE54" s="281"/>
      <c r="EF54" s="281"/>
      <c r="EG54" s="281"/>
      <c r="EH54" s="281"/>
      <c r="EI54" s="281"/>
      <c r="EJ54" s="281"/>
      <c r="EK54" s="281"/>
      <c r="EL54" s="281"/>
      <c r="EM54" s="281"/>
      <c r="EN54" s="281"/>
      <c r="EO54" s="281"/>
      <c r="EP54" s="281"/>
      <c r="EQ54" s="281"/>
      <c r="ER54" s="281"/>
      <c r="ES54" s="281"/>
      <c r="ET54" s="281"/>
      <c r="EU54" s="281"/>
      <c r="EV54" s="281"/>
      <c r="EW54" s="281"/>
      <c r="EX54" s="281"/>
      <c r="EY54" s="281"/>
      <c r="EZ54" s="281"/>
      <c r="FA54" s="281"/>
      <c r="FB54" s="281"/>
      <c r="FC54" s="281"/>
      <c r="FD54" s="281"/>
      <c r="FE54" s="281"/>
      <c r="FF54" s="281"/>
      <c r="FG54" s="281"/>
      <c r="FH54" s="281"/>
      <c r="FI54" s="281"/>
      <c r="FJ54" s="281"/>
      <c r="FK54" s="281"/>
      <c r="FL54" s="281"/>
      <c r="FM54" s="281"/>
      <c r="FN54" s="281"/>
      <c r="FO54" s="281"/>
      <c r="FP54" s="281"/>
      <c r="FQ54" s="281"/>
      <c r="FR54" s="281"/>
      <c r="FS54" s="281"/>
      <c r="FT54" s="281"/>
      <c r="FU54" s="281"/>
      <c r="FV54" s="281"/>
      <c r="FW54" s="281"/>
      <c r="FX54" s="281"/>
      <c r="FY54" s="281"/>
      <c r="FZ54" s="281"/>
      <c r="GA54" s="281"/>
      <c r="GB54" s="281"/>
      <c r="GC54" s="281"/>
      <c r="GD54" s="281"/>
      <c r="GE54" s="281"/>
      <c r="GF54" s="281"/>
      <c r="GG54" s="281"/>
      <c r="GH54" s="281"/>
      <c r="GI54" s="281"/>
      <c r="GJ54" s="281"/>
      <c r="GK54" s="281"/>
      <c r="GL54" s="281"/>
      <c r="GM54" s="281"/>
      <c r="GN54" s="281"/>
      <c r="GO54" s="281"/>
      <c r="GP54" s="281"/>
      <c r="GQ54" s="281"/>
      <c r="GR54" s="281"/>
      <c r="GS54" s="281"/>
      <c r="GT54" s="281"/>
      <c r="GU54" s="281"/>
      <c r="GV54" s="281"/>
      <c r="GW54" s="281"/>
      <c r="GX54" s="281"/>
      <c r="GY54" s="281"/>
      <c r="GZ54" s="281"/>
      <c r="HA54" s="281"/>
      <c r="HB54" s="281"/>
      <c r="HC54" s="281"/>
      <c r="HD54" s="281"/>
      <c r="HE54" s="281"/>
      <c r="HF54" s="281"/>
      <c r="HG54" s="281"/>
      <c r="HH54" s="281"/>
      <c r="HI54" s="281"/>
      <c r="HJ54" s="281"/>
      <c r="HK54" s="281"/>
      <c r="HL54" s="281"/>
      <c r="HM54" s="281"/>
      <c r="HN54" s="281"/>
      <c r="HO54" s="281"/>
      <c r="HP54" s="281"/>
      <c r="HQ54" s="281"/>
      <c r="HR54" s="281"/>
      <c r="HS54" s="281"/>
      <c r="HT54" s="281"/>
      <c r="HU54" s="281"/>
      <c r="HV54" s="281"/>
      <c r="HW54" s="281"/>
      <c r="HX54" s="281"/>
      <c r="HY54" s="281"/>
      <c r="HZ54" s="281"/>
      <c r="IA54" s="281"/>
      <c r="IB54" s="281"/>
      <c r="IC54" s="281"/>
      <c r="ID54" s="281"/>
      <c r="IE54" s="281"/>
      <c r="IF54" s="281"/>
      <c r="IG54" s="281"/>
      <c r="IH54" s="281"/>
      <c r="II54" s="281"/>
      <c r="IJ54" s="281"/>
      <c r="IK54" s="281"/>
      <c r="IL54" s="281"/>
      <c r="IM54" s="281"/>
      <c r="IN54" s="281"/>
      <c r="IO54" s="281"/>
      <c r="IP54" s="282"/>
    </row>
    <row r="55" spans="1:250" ht="21" customHeight="1" x14ac:dyDescent="0.15">
      <c r="A55" s="283"/>
      <c r="B55" s="284"/>
      <c r="C55" s="413" t="s">
        <v>16</v>
      </c>
      <c r="D55" s="2467">
        <v>28.601567666171036</v>
      </c>
      <c r="E55" s="438">
        <f>80-((D55*80)/100)</f>
        <v>57.118745867063168</v>
      </c>
      <c r="F55" s="530">
        <v>8</v>
      </c>
      <c r="G55" s="288"/>
      <c r="H55" s="344" t="s">
        <v>18</v>
      </c>
      <c r="I55" s="2037">
        <v>35.110197079921022</v>
      </c>
      <c r="J55" s="345">
        <f>85-((I55*85)/100)</f>
        <v>55.156332482067128</v>
      </c>
      <c r="K55" s="515">
        <v>8</v>
      </c>
      <c r="L55" s="656"/>
      <c r="M55" s="335" t="s">
        <v>17</v>
      </c>
      <c r="N55" s="2412">
        <f>'H Hélio'!K26</f>
        <v>1.8925266931157904E-2</v>
      </c>
      <c r="O55" s="400">
        <f>'H Hélio'!K27</f>
        <v>2.9366890704499897</v>
      </c>
      <c r="P55" s="401">
        <v>8</v>
      </c>
      <c r="Q55" s="656"/>
      <c r="R55" s="304" t="s">
        <v>14</v>
      </c>
      <c r="S55" s="548">
        <f>'H Hélio'!H29</f>
        <v>0</v>
      </c>
      <c r="T55" s="548">
        <f>'H Hélio'!H30</f>
        <v>2</v>
      </c>
      <c r="U55" s="548">
        <f>'H Hélio'!H31</f>
        <v>2</v>
      </c>
      <c r="V55" s="548">
        <f>'H Hélio'!H32</f>
        <v>1</v>
      </c>
      <c r="W55" s="548">
        <f>'H Hélio'!H33</f>
        <v>0</v>
      </c>
      <c r="X55" s="548">
        <f>'H Hélio'!H34</f>
        <v>1</v>
      </c>
      <c r="Y55" s="548">
        <f>'H Hélio'!H35</f>
        <v>0</v>
      </c>
      <c r="Z55" s="712">
        <f>'H Hélio'!H37</f>
        <v>8</v>
      </c>
      <c r="AA55" s="452"/>
      <c r="AB55" s="413" t="s">
        <v>16</v>
      </c>
      <c r="AC55" s="728">
        <f>'H Hélio'!J7</f>
        <v>1.1263258049041269E-2</v>
      </c>
      <c r="AD55" s="438">
        <f>'H Hélio'!J8</f>
        <v>3.961588815016146</v>
      </c>
      <c r="AE55" s="530">
        <v>8</v>
      </c>
      <c r="AF55" s="1737"/>
      <c r="AG55" s="790"/>
      <c r="AH55" s="1779">
        <v>8</v>
      </c>
      <c r="AI55" s="347" t="s">
        <v>14</v>
      </c>
      <c r="AJ55" s="516">
        <v>35</v>
      </c>
      <c r="AK55" s="1761">
        <f t="shared" si="5"/>
        <v>7</v>
      </c>
      <c r="AL55" s="790"/>
      <c r="AM55" s="733"/>
      <c r="AN55" s="700" t="s">
        <v>16</v>
      </c>
      <c r="AO55" s="701"/>
      <c r="AP55" s="586"/>
      <c r="AQ55" s="702"/>
      <c r="AR55" s="695"/>
      <c r="AS55" s="40"/>
      <c r="AT55" s="40"/>
      <c r="AU55" s="40"/>
      <c r="AV55" s="40"/>
      <c r="AW55" s="40"/>
      <c r="AX55" s="40"/>
      <c r="AY55" s="40"/>
      <c r="AZ55" s="40"/>
      <c r="BA55" s="40"/>
      <c r="BB55" s="734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1"/>
      <c r="CC55" s="281"/>
      <c r="CD55" s="281"/>
      <c r="CE55" s="281"/>
      <c r="CF55" s="281"/>
      <c r="CG55" s="281"/>
      <c r="CH55" s="281"/>
      <c r="CI55" s="281"/>
      <c r="CJ55" s="281"/>
      <c r="CK55" s="281"/>
      <c r="CL55" s="281"/>
      <c r="CM55" s="281"/>
      <c r="CN55" s="281"/>
      <c r="CO55" s="281"/>
      <c r="CP55" s="281"/>
      <c r="CQ55" s="281"/>
      <c r="CR55" s="281"/>
      <c r="CS55" s="281"/>
      <c r="CT55" s="281"/>
      <c r="CU55" s="281"/>
      <c r="CV55" s="281"/>
      <c r="CW55" s="281"/>
      <c r="CX55" s="281"/>
      <c r="CY55" s="281"/>
      <c r="CZ55" s="281"/>
      <c r="DA55" s="281"/>
      <c r="DB55" s="281"/>
      <c r="DC55" s="281"/>
      <c r="DD55" s="281"/>
      <c r="DE55" s="281"/>
      <c r="DF55" s="281"/>
      <c r="DG55" s="281"/>
      <c r="DH55" s="281"/>
      <c r="DI55" s="281"/>
      <c r="DJ55" s="281"/>
      <c r="DK55" s="281"/>
      <c r="DL55" s="281"/>
      <c r="DM55" s="281"/>
      <c r="DN55" s="281"/>
      <c r="DO55" s="281"/>
      <c r="DP55" s="281"/>
      <c r="DQ55" s="281"/>
      <c r="DR55" s="281"/>
      <c r="DS55" s="281"/>
      <c r="DT55" s="281"/>
      <c r="DU55" s="281"/>
      <c r="DV55" s="281"/>
      <c r="DW55" s="281"/>
      <c r="DX55" s="281"/>
      <c r="DY55" s="281"/>
      <c r="DZ55" s="281"/>
      <c r="EA55" s="281"/>
      <c r="EB55" s="281"/>
      <c r="EC55" s="281"/>
      <c r="ED55" s="281"/>
      <c r="EE55" s="281"/>
      <c r="EF55" s="281"/>
      <c r="EG55" s="281"/>
      <c r="EH55" s="281"/>
      <c r="EI55" s="281"/>
      <c r="EJ55" s="281"/>
      <c r="EK55" s="281"/>
      <c r="EL55" s="281"/>
      <c r="EM55" s="281"/>
      <c r="EN55" s="281"/>
      <c r="EO55" s="281"/>
      <c r="EP55" s="281"/>
      <c r="EQ55" s="281"/>
      <c r="ER55" s="281"/>
      <c r="ES55" s="281"/>
      <c r="ET55" s="281"/>
      <c r="EU55" s="281"/>
      <c r="EV55" s="281"/>
      <c r="EW55" s="281"/>
      <c r="EX55" s="281"/>
      <c r="EY55" s="281"/>
      <c r="EZ55" s="281"/>
      <c r="FA55" s="281"/>
      <c r="FB55" s="281"/>
      <c r="FC55" s="281"/>
      <c r="FD55" s="281"/>
      <c r="FE55" s="281"/>
      <c r="FF55" s="281"/>
      <c r="FG55" s="281"/>
      <c r="FH55" s="281"/>
      <c r="FI55" s="281"/>
      <c r="FJ55" s="281"/>
      <c r="FK55" s="281"/>
      <c r="FL55" s="281"/>
      <c r="FM55" s="281"/>
      <c r="FN55" s="281"/>
      <c r="FO55" s="281"/>
      <c r="FP55" s="281"/>
      <c r="FQ55" s="281"/>
      <c r="FR55" s="281"/>
      <c r="FS55" s="281"/>
      <c r="FT55" s="281"/>
      <c r="FU55" s="281"/>
      <c r="FV55" s="281"/>
      <c r="FW55" s="281"/>
      <c r="FX55" s="281"/>
      <c r="FY55" s="281"/>
      <c r="FZ55" s="281"/>
      <c r="GA55" s="281"/>
      <c r="GB55" s="281"/>
      <c r="GC55" s="281"/>
      <c r="GD55" s="281"/>
      <c r="GE55" s="281"/>
      <c r="GF55" s="281"/>
      <c r="GG55" s="281"/>
      <c r="GH55" s="281"/>
      <c r="GI55" s="281"/>
      <c r="GJ55" s="281"/>
      <c r="GK55" s="281"/>
      <c r="GL55" s="281"/>
      <c r="GM55" s="281"/>
      <c r="GN55" s="281"/>
      <c r="GO55" s="281"/>
      <c r="GP55" s="281"/>
      <c r="GQ55" s="281"/>
      <c r="GR55" s="281"/>
      <c r="GS55" s="281"/>
      <c r="GT55" s="281"/>
      <c r="GU55" s="281"/>
      <c r="GV55" s="281"/>
      <c r="GW55" s="281"/>
      <c r="GX55" s="281"/>
      <c r="GY55" s="281"/>
      <c r="GZ55" s="281"/>
      <c r="HA55" s="281"/>
      <c r="HB55" s="281"/>
      <c r="HC55" s="281"/>
      <c r="HD55" s="281"/>
      <c r="HE55" s="281"/>
      <c r="HF55" s="281"/>
      <c r="HG55" s="281"/>
      <c r="HH55" s="281"/>
      <c r="HI55" s="281"/>
      <c r="HJ55" s="281"/>
      <c r="HK55" s="281"/>
      <c r="HL55" s="281"/>
      <c r="HM55" s="281"/>
      <c r="HN55" s="281"/>
      <c r="HO55" s="281"/>
      <c r="HP55" s="281"/>
      <c r="HQ55" s="281"/>
      <c r="HR55" s="281"/>
      <c r="HS55" s="281"/>
      <c r="HT55" s="281"/>
      <c r="HU55" s="281"/>
      <c r="HV55" s="281"/>
      <c r="HW55" s="281"/>
      <c r="HX55" s="281"/>
      <c r="HY55" s="281"/>
      <c r="HZ55" s="281"/>
      <c r="IA55" s="281"/>
      <c r="IB55" s="281"/>
      <c r="IC55" s="281"/>
      <c r="ID55" s="281"/>
      <c r="IE55" s="281"/>
      <c r="IF55" s="281"/>
      <c r="IG55" s="281"/>
      <c r="IH55" s="281"/>
      <c r="II55" s="281"/>
      <c r="IJ55" s="281"/>
      <c r="IK55" s="281"/>
      <c r="IL55" s="281"/>
      <c r="IM55" s="281"/>
      <c r="IN55" s="281"/>
      <c r="IO55" s="281"/>
      <c r="IP55" s="282"/>
    </row>
    <row r="56" spans="1:250" ht="23" customHeight="1" x14ac:dyDescent="0.15">
      <c r="A56" s="283"/>
      <c r="B56" s="284"/>
      <c r="C56" s="307" t="s">
        <v>15</v>
      </c>
      <c r="D56" s="2474">
        <v>33.522494413478512</v>
      </c>
      <c r="E56" s="309">
        <f>85-((D56*85)/100)</f>
        <v>56.505879748543265</v>
      </c>
      <c r="F56" s="310">
        <v>9</v>
      </c>
      <c r="G56" s="288"/>
      <c r="H56" s="332" t="s">
        <v>9</v>
      </c>
      <c r="I56" s="2469">
        <v>40.867987744479002</v>
      </c>
      <c r="J56" s="586">
        <f>80-((I56*80)/100)</f>
        <v>47.305609804416797</v>
      </c>
      <c r="K56" s="604">
        <v>9</v>
      </c>
      <c r="L56" s="668"/>
      <c r="M56" s="413" t="s">
        <v>16</v>
      </c>
      <c r="N56" s="631">
        <f>'H Hélio'!J26</f>
        <v>3.7808259806415161E-2</v>
      </c>
      <c r="O56" s="438">
        <f>'H Hélio'!J27</f>
        <v>2.336518785826541</v>
      </c>
      <c r="P56" s="530">
        <v>9</v>
      </c>
      <c r="Q56" s="668"/>
      <c r="R56" s="307" t="s">
        <v>15</v>
      </c>
      <c r="S56" s="507">
        <f>'H Hélio'!I29</f>
        <v>0</v>
      </c>
      <c r="T56" s="507">
        <f>'H Hélio'!I30</f>
        <v>0</v>
      </c>
      <c r="U56" s="507">
        <f>'H Hélio'!I31</f>
        <v>1</v>
      </c>
      <c r="V56" s="507">
        <f>'H Hélio'!I32</f>
        <v>1</v>
      </c>
      <c r="W56" s="507">
        <f>'H Hélio'!I33</f>
        <v>0</v>
      </c>
      <c r="X56" s="507">
        <f>'H Hélio'!I34</f>
        <v>0</v>
      </c>
      <c r="Y56" s="507">
        <f>'H Hélio'!I35</f>
        <v>0</v>
      </c>
      <c r="Z56" s="727">
        <f>'H Hélio'!I37</f>
        <v>9</v>
      </c>
      <c r="AA56" s="670"/>
      <c r="AB56" s="307" t="s">
        <v>15</v>
      </c>
      <c r="AC56" s="705">
        <f>'H Hélio'!I7</f>
        <v>3.1731785906970345E-2</v>
      </c>
      <c r="AD56" s="309">
        <f>'H Hélio'!I8</f>
        <v>2.2259458958487905</v>
      </c>
      <c r="AE56" s="310">
        <v>9</v>
      </c>
      <c r="AF56" s="922"/>
      <c r="AG56" s="710"/>
      <c r="AH56" s="1777">
        <v>9</v>
      </c>
      <c r="AI56" s="537" t="s">
        <v>16</v>
      </c>
      <c r="AJ56" s="529">
        <v>38</v>
      </c>
      <c r="AK56" s="1778">
        <f t="shared" si="5"/>
        <v>7.6</v>
      </c>
      <c r="AL56" s="710"/>
      <c r="AM56" s="738"/>
      <c r="AN56" s="700" t="s">
        <v>17</v>
      </c>
      <c r="AO56" s="720"/>
      <c r="AP56" s="586"/>
      <c r="AQ56" s="702"/>
      <c r="AR56" s="695"/>
      <c r="AS56" s="40"/>
      <c r="AT56" s="40"/>
      <c r="AU56" s="40"/>
      <c r="AV56" s="40"/>
      <c r="AW56" s="40"/>
      <c r="AX56" s="40"/>
      <c r="AY56" s="40"/>
      <c r="AZ56" s="40"/>
      <c r="BA56" s="40"/>
      <c r="BB56" s="739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1"/>
      <c r="CC56" s="281"/>
      <c r="CD56" s="281"/>
      <c r="CE56" s="281"/>
      <c r="CF56" s="281"/>
      <c r="CG56" s="281"/>
      <c r="CH56" s="281"/>
      <c r="CI56" s="281"/>
      <c r="CJ56" s="281"/>
      <c r="CK56" s="281"/>
      <c r="CL56" s="281"/>
      <c r="CM56" s="281"/>
      <c r="CN56" s="281"/>
      <c r="CO56" s="281"/>
      <c r="CP56" s="281"/>
      <c r="CQ56" s="281"/>
      <c r="CR56" s="281"/>
      <c r="CS56" s="281"/>
      <c r="CT56" s="281"/>
      <c r="CU56" s="281"/>
      <c r="CV56" s="281"/>
      <c r="CW56" s="281"/>
      <c r="CX56" s="281"/>
      <c r="CY56" s="281"/>
      <c r="CZ56" s="281"/>
      <c r="DA56" s="281"/>
      <c r="DB56" s="281"/>
      <c r="DC56" s="281"/>
      <c r="DD56" s="281"/>
      <c r="DE56" s="281"/>
      <c r="DF56" s="281"/>
      <c r="DG56" s="281"/>
      <c r="DH56" s="281"/>
      <c r="DI56" s="281"/>
      <c r="DJ56" s="281"/>
      <c r="DK56" s="281"/>
      <c r="DL56" s="281"/>
      <c r="DM56" s="281"/>
      <c r="DN56" s="281"/>
      <c r="DO56" s="281"/>
      <c r="DP56" s="281"/>
      <c r="DQ56" s="281"/>
      <c r="DR56" s="281"/>
      <c r="DS56" s="281"/>
      <c r="DT56" s="281"/>
      <c r="DU56" s="281"/>
      <c r="DV56" s="281"/>
      <c r="DW56" s="281"/>
      <c r="DX56" s="281"/>
      <c r="DY56" s="281"/>
      <c r="DZ56" s="281"/>
      <c r="EA56" s="281"/>
      <c r="EB56" s="281"/>
      <c r="EC56" s="281"/>
      <c r="ED56" s="281"/>
      <c r="EE56" s="281"/>
      <c r="EF56" s="281"/>
      <c r="EG56" s="281"/>
      <c r="EH56" s="281"/>
      <c r="EI56" s="281"/>
      <c r="EJ56" s="281"/>
      <c r="EK56" s="281"/>
      <c r="EL56" s="281"/>
      <c r="EM56" s="281"/>
      <c r="EN56" s="281"/>
      <c r="EO56" s="281"/>
      <c r="EP56" s="281"/>
      <c r="EQ56" s="281"/>
      <c r="ER56" s="281"/>
      <c r="ES56" s="281"/>
      <c r="ET56" s="281"/>
      <c r="EU56" s="281"/>
      <c r="EV56" s="281"/>
      <c r="EW56" s="281"/>
      <c r="EX56" s="281"/>
      <c r="EY56" s="281"/>
      <c r="EZ56" s="281"/>
      <c r="FA56" s="281"/>
      <c r="FB56" s="281"/>
      <c r="FC56" s="281"/>
      <c r="FD56" s="281"/>
      <c r="FE56" s="281"/>
      <c r="FF56" s="281"/>
      <c r="FG56" s="281"/>
      <c r="FH56" s="281"/>
      <c r="FI56" s="281"/>
      <c r="FJ56" s="281"/>
      <c r="FK56" s="281"/>
      <c r="FL56" s="281"/>
      <c r="FM56" s="281"/>
      <c r="FN56" s="281"/>
      <c r="FO56" s="281"/>
      <c r="FP56" s="281"/>
      <c r="FQ56" s="281"/>
      <c r="FR56" s="281"/>
      <c r="FS56" s="281"/>
      <c r="FT56" s="281"/>
      <c r="FU56" s="281"/>
      <c r="FV56" s="281"/>
      <c r="FW56" s="281"/>
      <c r="FX56" s="281"/>
      <c r="FY56" s="281"/>
      <c r="FZ56" s="281"/>
      <c r="GA56" s="281"/>
      <c r="GB56" s="281"/>
      <c r="GC56" s="281"/>
      <c r="GD56" s="281"/>
      <c r="GE56" s="281"/>
      <c r="GF56" s="281"/>
      <c r="GG56" s="281"/>
      <c r="GH56" s="281"/>
      <c r="GI56" s="281"/>
      <c r="GJ56" s="281"/>
      <c r="GK56" s="281"/>
      <c r="GL56" s="281"/>
      <c r="GM56" s="281"/>
      <c r="GN56" s="281"/>
      <c r="GO56" s="281"/>
      <c r="GP56" s="281"/>
      <c r="GQ56" s="281"/>
      <c r="GR56" s="281"/>
      <c r="GS56" s="281"/>
      <c r="GT56" s="281"/>
      <c r="GU56" s="281"/>
      <c r="GV56" s="281"/>
      <c r="GW56" s="281"/>
      <c r="GX56" s="281"/>
      <c r="GY56" s="281"/>
      <c r="GZ56" s="281"/>
      <c r="HA56" s="281"/>
      <c r="HB56" s="281"/>
      <c r="HC56" s="281"/>
      <c r="HD56" s="281"/>
      <c r="HE56" s="281"/>
      <c r="HF56" s="281"/>
      <c r="HG56" s="281"/>
      <c r="HH56" s="281"/>
      <c r="HI56" s="281"/>
      <c r="HJ56" s="281"/>
      <c r="HK56" s="281"/>
      <c r="HL56" s="281"/>
      <c r="HM56" s="281"/>
      <c r="HN56" s="281"/>
      <c r="HO56" s="281"/>
      <c r="HP56" s="281"/>
      <c r="HQ56" s="281"/>
      <c r="HR56" s="281"/>
      <c r="HS56" s="281"/>
      <c r="HT56" s="281"/>
      <c r="HU56" s="281"/>
      <c r="HV56" s="281"/>
      <c r="HW56" s="281"/>
      <c r="HX56" s="281"/>
      <c r="HY56" s="281"/>
      <c r="HZ56" s="281"/>
      <c r="IA56" s="281"/>
      <c r="IB56" s="281"/>
      <c r="IC56" s="281"/>
      <c r="ID56" s="281"/>
      <c r="IE56" s="281"/>
      <c r="IF56" s="281"/>
      <c r="IG56" s="281"/>
      <c r="IH56" s="281"/>
      <c r="II56" s="281"/>
      <c r="IJ56" s="281"/>
      <c r="IK56" s="281"/>
      <c r="IL56" s="281"/>
      <c r="IM56" s="281"/>
      <c r="IN56" s="281"/>
      <c r="IO56" s="281"/>
      <c r="IP56" s="282"/>
    </row>
    <row r="57" spans="1:250" ht="21" customHeight="1" x14ac:dyDescent="0.15">
      <c r="A57" s="283"/>
      <c r="B57" s="284"/>
      <c r="C57" s="480" t="s">
        <v>11</v>
      </c>
      <c r="D57" s="2475">
        <v>39.064448875929997</v>
      </c>
      <c r="E57" s="1613">
        <f>80-((D57*80)/100)</f>
        <v>48.748440899256003</v>
      </c>
      <c r="F57" s="1614">
        <v>10</v>
      </c>
      <c r="G57" s="288"/>
      <c r="H57" s="2023" t="s">
        <v>12</v>
      </c>
      <c r="I57" s="2477">
        <v>41.012032784951998</v>
      </c>
      <c r="J57" s="2078">
        <f>80-((I57*80)/100)</f>
        <v>47.190373772038399</v>
      </c>
      <c r="K57" s="2024">
        <v>10</v>
      </c>
      <c r="L57" s="680"/>
      <c r="M57" s="558" t="s">
        <v>14</v>
      </c>
      <c r="N57" s="2457">
        <f>'H Hélio'!H26</f>
        <v>10.705262846002825</v>
      </c>
      <c r="O57" s="2458">
        <f>'H Hélio'!H27</f>
        <v>0.11112907772363341</v>
      </c>
      <c r="P57" s="2459">
        <v>10</v>
      </c>
      <c r="Q57" s="680"/>
      <c r="R57" s="480" t="s">
        <v>11</v>
      </c>
      <c r="S57" s="2454">
        <f>'H Hélio'!E29</f>
        <v>0</v>
      </c>
      <c r="T57" s="2454">
        <f>'H Hélio'!E30</f>
        <v>0</v>
      </c>
      <c r="U57" s="2454">
        <f>'H Hélio'!E31</f>
        <v>0</v>
      </c>
      <c r="V57" s="2454">
        <f>'H Hélio'!E32</f>
        <v>0</v>
      </c>
      <c r="W57" s="2454">
        <f>'H Hélio'!E33</f>
        <v>1</v>
      </c>
      <c r="X57" s="2454">
        <f>'H Hélio'!E34</f>
        <v>0</v>
      </c>
      <c r="Y57" s="2454">
        <f>'H Hélio'!E35</f>
        <v>0</v>
      </c>
      <c r="Z57" s="2456">
        <f>'H Hélio'!E37</f>
        <v>10</v>
      </c>
      <c r="AA57" s="681"/>
      <c r="AB57" s="558" t="s">
        <v>14</v>
      </c>
      <c r="AC57" s="2461">
        <f>'H Hélio'!H7</f>
        <v>7.5720261691003543E-2</v>
      </c>
      <c r="AD57" s="2458">
        <f>'H Hélio'!H8</f>
        <v>1.3537390445059843</v>
      </c>
      <c r="AE57" s="2459">
        <v>10</v>
      </c>
      <c r="AF57" s="1738"/>
      <c r="AG57" s="734"/>
      <c r="AH57" s="2478">
        <v>10</v>
      </c>
      <c r="AI57" s="2479" t="s">
        <v>15</v>
      </c>
      <c r="AJ57" s="2480">
        <v>40</v>
      </c>
      <c r="AK57" s="2481">
        <f t="shared" si="5"/>
        <v>8</v>
      </c>
      <c r="AL57" s="734"/>
      <c r="AM57" s="740"/>
      <c r="AN57" s="741" t="s">
        <v>18</v>
      </c>
      <c r="AO57" s="742"/>
      <c r="AP57" s="743"/>
      <c r="AQ57" s="744"/>
      <c r="AR57" s="695"/>
      <c r="AS57" s="40"/>
      <c r="AT57" s="40"/>
      <c r="AU57" s="40"/>
      <c r="AV57" s="40"/>
      <c r="AW57" s="40"/>
      <c r="AX57" s="40"/>
      <c r="AY57" s="40"/>
      <c r="AZ57" s="40"/>
      <c r="BA57" s="40"/>
      <c r="BB57" s="745"/>
      <c r="BC57" s="281"/>
      <c r="BD57" s="281"/>
      <c r="BE57" s="281"/>
      <c r="BF57" s="281"/>
      <c r="BG57" s="281"/>
      <c r="BH57" s="281"/>
      <c r="BI57" s="281"/>
      <c r="BJ57" s="281"/>
      <c r="BK57" s="281"/>
      <c r="BL57" s="281"/>
      <c r="BM57" s="281"/>
      <c r="BN57" s="281"/>
      <c r="BO57" s="281"/>
      <c r="BP57" s="281"/>
      <c r="BQ57" s="281"/>
      <c r="BR57" s="281"/>
      <c r="BS57" s="281"/>
      <c r="BT57" s="281"/>
      <c r="BU57" s="281"/>
      <c r="BV57" s="281"/>
      <c r="BW57" s="281"/>
      <c r="BX57" s="281"/>
      <c r="BY57" s="281"/>
      <c r="BZ57" s="281"/>
      <c r="CA57" s="281"/>
      <c r="CB57" s="281"/>
      <c r="CC57" s="281"/>
      <c r="CD57" s="281"/>
      <c r="CE57" s="281"/>
      <c r="CF57" s="281"/>
      <c r="CG57" s="281"/>
      <c r="CH57" s="281"/>
      <c r="CI57" s="281"/>
      <c r="CJ57" s="281"/>
      <c r="CK57" s="281"/>
      <c r="CL57" s="281"/>
      <c r="CM57" s="281"/>
      <c r="CN57" s="281"/>
      <c r="CO57" s="281"/>
      <c r="CP57" s="281"/>
      <c r="CQ57" s="281"/>
      <c r="CR57" s="281"/>
      <c r="CS57" s="281"/>
      <c r="CT57" s="281"/>
      <c r="CU57" s="281"/>
      <c r="CV57" s="281"/>
      <c r="CW57" s="281"/>
      <c r="CX57" s="281"/>
      <c r="CY57" s="281"/>
      <c r="CZ57" s="281"/>
      <c r="DA57" s="281"/>
      <c r="DB57" s="281"/>
      <c r="DC57" s="281"/>
      <c r="DD57" s="281"/>
      <c r="DE57" s="281"/>
      <c r="DF57" s="281"/>
      <c r="DG57" s="281"/>
      <c r="DH57" s="281"/>
      <c r="DI57" s="281"/>
      <c r="DJ57" s="281"/>
      <c r="DK57" s="281"/>
      <c r="DL57" s="281"/>
      <c r="DM57" s="281"/>
      <c r="DN57" s="281"/>
      <c r="DO57" s="281"/>
      <c r="DP57" s="281"/>
      <c r="DQ57" s="281"/>
      <c r="DR57" s="281"/>
      <c r="DS57" s="281"/>
      <c r="DT57" s="281"/>
      <c r="DU57" s="281"/>
      <c r="DV57" s="281"/>
      <c r="DW57" s="281"/>
      <c r="DX57" s="281"/>
      <c r="DY57" s="281"/>
      <c r="DZ57" s="281"/>
      <c r="EA57" s="281"/>
      <c r="EB57" s="281"/>
      <c r="EC57" s="281"/>
      <c r="ED57" s="281"/>
      <c r="EE57" s="281"/>
      <c r="EF57" s="281"/>
      <c r="EG57" s="281"/>
      <c r="EH57" s="281"/>
      <c r="EI57" s="281"/>
      <c r="EJ57" s="281"/>
      <c r="EK57" s="281"/>
      <c r="EL57" s="281"/>
      <c r="EM57" s="281"/>
      <c r="EN57" s="281"/>
      <c r="EO57" s="281"/>
      <c r="EP57" s="281"/>
      <c r="EQ57" s="281"/>
      <c r="ER57" s="281"/>
      <c r="ES57" s="281"/>
      <c r="ET57" s="281"/>
      <c r="EU57" s="281"/>
      <c r="EV57" s="281"/>
      <c r="EW57" s="281"/>
      <c r="EX57" s="281"/>
      <c r="EY57" s="281"/>
      <c r="EZ57" s="281"/>
      <c r="FA57" s="281"/>
      <c r="FB57" s="281"/>
      <c r="FC57" s="281"/>
      <c r="FD57" s="281"/>
      <c r="FE57" s="281"/>
      <c r="FF57" s="281"/>
      <c r="FG57" s="281"/>
      <c r="FH57" s="281"/>
      <c r="FI57" s="281"/>
      <c r="FJ57" s="281"/>
      <c r="FK57" s="281"/>
      <c r="FL57" s="281"/>
      <c r="FM57" s="281"/>
      <c r="FN57" s="281"/>
      <c r="FO57" s="281"/>
      <c r="FP57" s="281"/>
      <c r="FQ57" s="281"/>
      <c r="FR57" s="281"/>
      <c r="FS57" s="281"/>
      <c r="FT57" s="281"/>
      <c r="FU57" s="281"/>
      <c r="FV57" s="281"/>
      <c r="FW57" s="281"/>
      <c r="FX57" s="281"/>
      <c r="FY57" s="281"/>
      <c r="FZ57" s="281"/>
      <c r="GA57" s="281"/>
      <c r="GB57" s="281"/>
      <c r="GC57" s="281"/>
      <c r="GD57" s="281"/>
      <c r="GE57" s="281"/>
      <c r="GF57" s="281"/>
      <c r="GG57" s="281"/>
      <c r="GH57" s="281"/>
      <c r="GI57" s="281"/>
      <c r="GJ57" s="281"/>
      <c r="GK57" s="281"/>
      <c r="GL57" s="281"/>
      <c r="GM57" s="281"/>
      <c r="GN57" s="281"/>
      <c r="GO57" s="281"/>
      <c r="GP57" s="281"/>
      <c r="GQ57" s="281"/>
      <c r="GR57" s="281"/>
      <c r="GS57" s="281"/>
      <c r="GT57" s="281"/>
      <c r="GU57" s="281"/>
      <c r="GV57" s="281"/>
      <c r="GW57" s="281"/>
      <c r="GX57" s="281"/>
      <c r="GY57" s="281"/>
      <c r="GZ57" s="281"/>
      <c r="HA57" s="281"/>
      <c r="HB57" s="281"/>
      <c r="HC57" s="281"/>
      <c r="HD57" s="281"/>
      <c r="HE57" s="281"/>
      <c r="HF57" s="281"/>
      <c r="HG57" s="281"/>
      <c r="HH57" s="281"/>
      <c r="HI57" s="281"/>
      <c r="HJ57" s="281"/>
      <c r="HK57" s="281"/>
      <c r="HL57" s="281"/>
      <c r="HM57" s="281"/>
      <c r="HN57" s="281"/>
      <c r="HO57" s="281"/>
      <c r="HP57" s="281"/>
      <c r="HQ57" s="281"/>
      <c r="HR57" s="281"/>
      <c r="HS57" s="281"/>
      <c r="HT57" s="281"/>
      <c r="HU57" s="281"/>
      <c r="HV57" s="281"/>
      <c r="HW57" s="281"/>
      <c r="HX57" s="281"/>
      <c r="HY57" s="281"/>
      <c r="HZ57" s="281"/>
      <c r="IA57" s="281"/>
      <c r="IB57" s="281"/>
      <c r="IC57" s="281"/>
      <c r="ID57" s="281"/>
      <c r="IE57" s="281"/>
      <c r="IF57" s="281"/>
      <c r="IG57" s="281"/>
      <c r="IH57" s="281"/>
      <c r="II57" s="281"/>
      <c r="IJ57" s="281"/>
      <c r="IK57" s="281"/>
      <c r="IL57" s="281"/>
      <c r="IM57" s="281"/>
      <c r="IN57" s="281"/>
      <c r="IO57" s="281"/>
      <c r="IP57" s="282"/>
    </row>
    <row r="58" spans="1:250" ht="8" customHeight="1" x14ac:dyDescent="0.15">
      <c r="A58" s="283"/>
      <c r="B58" s="281"/>
      <c r="C58" s="485"/>
      <c r="D58" s="485"/>
      <c r="E58" s="485"/>
      <c r="F58" s="485"/>
      <c r="G58" s="281"/>
      <c r="H58" s="485"/>
      <c r="I58" s="485"/>
      <c r="J58" s="485"/>
      <c r="K58" s="485"/>
      <c r="L58" s="281"/>
      <c r="M58" s="485"/>
      <c r="N58" s="485"/>
      <c r="O58" s="485"/>
      <c r="P58" s="485"/>
      <c r="Q58" s="281"/>
      <c r="R58" s="485"/>
      <c r="S58" s="485"/>
      <c r="T58" s="485"/>
      <c r="U58" s="485"/>
      <c r="V58" s="485"/>
      <c r="W58" s="485"/>
      <c r="X58" s="485"/>
      <c r="Y58" s="485"/>
      <c r="Z58" s="485"/>
      <c r="AA58" s="281"/>
      <c r="AB58" s="485"/>
      <c r="AC58" s="485"/>
      <c r="AD58" s="485"/>
      <c r="AE58" s="485"/>
      <c r="AF58" s="281"/>
      <c r="AG58" s="281"/>
      <c r="AH58" s="281"/>
      <c r="AI58" s="281"/>
      <c r="AJ58" s="281"/>
      <c r="AK58" s="281"/>
      <c r="AL58" s="281"/>
      <c r="AM58" s="281"/>
      <c r="AN58" s="746"/>
      <c r="AO58" s="746"/>
      <c r="AP58" s="746"/>
      <c r="AQ58" s="746"/>
      <c r="AR58" s="281"/>
      <c r="AS58" s="281"/>
      <c r="AT58" s="281"/>
      <c r="AU58" s="281"/>
      <c r="AV58" s="281"/>
      <c r="AW58" s="281"/>
      <c r="AX58" s="281"/>
      <c r="AY58" s="281"/>
      <c r="AZ58" s="281"/>
      <c r="BA58" s="281"/>
      <c r="BB58" s="281"/>
      <c r="BC58" s="281"/>
      <c r="BD58" s="281"/>
      <c r="BE58" s="281"/>
      <c r="BF58" s="281"/>
      <c r="BG58" s="281"/>
      <c r="BH58" s="281"/>
      <c r="BI58" s="281"/>
      <c r="BJ58" s="281"/>
      <c r="BK58" s="281"/>
      <c r="BL58" s="281"/>
      <c r="BM58" s="281"/>
      <c r="BN58" s="281"/>
      <c r="BO58" s="281"/>
      <c r="BP58" s="281"/>
      <c r="BQ58" s="281"/>
      <c r="BR58" s="281"/>
      <c r="BS58" s="281"/>
      <c r="BT58" s="281"/>
      <c r="BU58" s="281"/>
      <c r="BV58" s="281"/>
      <c r="BW58" s="281"/>
      <c r="BX58" s="281"/>
      <c r="BY58" s="281"/>
      <c r="BZ58" s="281"/>
      <c r="CA58" s="281"/>
      <c r="CB58" s="281"/>
      <c r="CC58" s="281"/>
      <c r="CD58" s="281"/>
      <c r="CE58" s="281"/>
      <c r="CF58" s="281"/>
      <c r="CG58" s="281"/>
      <c r="CH58" s="281"/>
      <c r="CI58" s="281"/>
      <c r="CJ58" s="281"/>
      <c r="CK58" s="281"/>
      <c r="CL58" s="281"/>
      <c r="CM58" s="281"/>
      <c r="CN58" s="281"/>
      <c r="CO58" s="281"/>
      <c r="CP58" s="281"/>
      <c r="CQ58" s="281"/>
      <c r="CR58" s="281"/>
      <c r="CS58" s="281"/>
      <c r="CT58" s="281"/>
      <c r="CU58" s="281"/>
      <c r="CV58" s="281"/>
      <c r="CW58" s="281"/>
      <c r="CX58" s="281"/>
      <c r="CY58" s="281"/>
      <c r="CZ58" s="281"/>
      <c r="DA58" s="281"/>
      <c r="DB58" s="281"/>
      <c r="DC58" s="281"/>
      <c r="DD58" s="281"/>
      <c r="DE58" s="281"/>
      <c r="DF58" s="281"/>
      <c r="DG58" s="281"/>
      <c r="DH58" s="281"/>
      <c r="DI58" s="281"/>
      <c r="DJ58" s="281"/>
      <c r="DK58" s="281"/>
      <c r="DL58" s="281"/>
      <c r="DM58" s="281"/>
      <c r="DN58" s="281"/>
      <c r="DO58" s="281"/>
      <c r="DP58" s="281"/>
      <c r="DQ58" s="281"/>
      <c r="DR58" s="281"/>
      <c r="DS58" s="281"/>
      <c r="DT58" s="281"/>
      <c r="DU58" s="281"/>
      <c r="DV58" s="281"/>
      <c r="DW58" s="281"/>
      <c r="DX58" s="281"/>
      <c r="DY58" s="281"/>
      <c r="DZ58" s="281"/>
      <c r="EA58" s="281"/>
      <c r="EB58" s="281"/>
      <c r="EC58" s="281"/>
      <c r="ED58" s="281"/>
      <c r="EE58" s="281"/>
      <c r="EF58" s="281"/>
      <c r="EG58" s="281"/>
      <c r="EH58" s="281"/>
      <c r="EI58" s="281"/>
      <c r="EJ58" s="281"/>
      <c r="EK58" s="281"/>
      <c r="EL58" s="281"/>
      <c r="EM58" s="281"/>
      <c r="EN58" s="281"/>
      <c r="EO58" s="281"/>
      <c r="EP58" s="281"/>
      <c r="EQ58" s="281"/>
      <c r="ER58" s="281"/>
      <c r="ES58" s="281"/>
      <c r="ET58" s="281"/>
      <c r="EU58" s="281"/>
      <c r="EV58" s="281"/>
      <c r="EW58" s="281"/>
      <c r="EX58" s="281"/>
      <c r="EY58" s="281"/>
      <c r="EZ58" s="281"/>
      <c r="FA58" s="281"/>
      <c r="FB58" s="281"/>
      <c r="FC58" s="281"/>
      <c r="FD58" s="281"/>
      <c r="FE58" s="281"/>
      <c r="FF58" s="281"/>
      <c r="FG58" s="281"/>
      <c r="FH58" s="281"/>
      <c r="FI58" s="281"/>
      <c r="FJ58" s="281"/>
      <c r="FK58" s="281"/>
      <c r="FL58" s="281"/>
      <c r="FM58" s="281"/>
      <c r="FN58" s="281"/>
      <c r="FO58" s="281"/>
      <c r="FP58" s="281"/>
      <c r="FQ58" s="281"/>
      <c r="FR58" s="281"/>
      <c r="FS58" s="281"/>
      <c r="FT58" s="281"/>
      <c r="FU58" s="281"/>
      <c r="FV58" s="281"/>
      <c r="FW58" s="281"/>
      <c r="FX58" s="281"/>
      <c r="FY58" s="281"/>
      <c r="FZ58" s="281"/>
      <c r="GA58" s="281"/>
      <c r="GB58" s="281"/>
      <c r="GC58" s="281"/>
      <c r="GD58" s="281"/>
      <c r="GE58" s="281"/>
      <c r="GF58" s="281"/>
      <c r="GG58" s="281"/>
      <c r="GH58" s="281"/>
      <c r="GI58" s="281"/>
      <c r="GJ58" s="281"/>
      <c r="GK58" s="281"/>
      <c r="GL58" s="281"/>
      <c r="GM58" s="281"/>
      <c r="GN58" s="281"/>
      <c r="GO58" s="281"/>
      <c r="GP58" s="281"/>
      <c r="GQ58" s="281"/>
      <c r="GR58" s="281"/>
      <c r="GS58" s="281"/>
      <c r="GT58" s="281"/>
      <c r="GU58" s="281"/>
      <c r="GV58" s="281"/>
      <c r="GW58" s="281"/>
      <c r="GX58" s="281"/>
      <c r="GY58" s="281"/>
      <c r="GZ58" s="281"/>
      <c r="HA58" s="281"/>
      <c r="HB58" s="281"/>
      <c r="HC58" s="281"/>
      <c r="HD58" s="281"/>
      <c r="HE58" s="281"/>
      <c r="HF58" s="281"/>
      <c r="HG58" s="281"/>
      <c r="HH58" s="281"/>
      <c r="HI58" s="281"/>
      <c r="HJ58" s="281"/>
      <c r="HK58" s="281"/>
      <c r="HL58" s="281"/>
      <c r="HM58" s="281"/>
      <c r="HN58" s="281"/>
      <c r="HO58" s="281"/>
      <c r="HP58" s="281"/>
      <c r="HQ58" s="281"/>
      <c r="HR58" s="281"/>
      <c r="HS58" s="281"/>
      <c r="HT58" s="281"/>
      <c r="HU58" s="281"/>
      <c r="HV58" s="281"/>
      <c r="HW58" s="281"/>
      <c r="HX58" s="281"/>
      <c r="HY58" s="281"/>
      <c r="HZ58" s="281"/>
      <c r="IA58" s="281"/>
      <c r="IB58" s="281"/>
      <c r="IC58" s="281"/>
      <c r="ID58" s="281"/>
      <c r="IE58" s="281"/>
      <c r="IF58" s="281"/>
      <c r="IG58" s="281"/>
      <c r="IH58" s="281"/>
      <c r="II58" s="281"/>
      <c r="IJ58" s="281"/>
      <c r="IK58" s="281"/>
      <c r="IL58" s="281"/>
      <c r="IM58" s="281"/>
      <c r="IN58" s="281"/>
      <c r="IO58" s="281"/>
      <c r="IP58" s="282"/>
    </row>
    <row r="59" spans="1:250" s="1411" customFormat="1" ht="13" customHeight="1" x14ac:dyDescent="0.15">
      <c r="A59" s="283"/>
      <c r="B59" s="281"/>
      <c r="C59" s="2810" t="s">
        <v>405</v>
      </c>
      <c r="D59" s="2811"/>
      <c r="E59" s="2811"/>
      <c r="F59" s="2811"/>
      <c r="G59" s="487"/>
      <c r="H59" s="2810" t="s">
        <v>406</v>
      </c>
      <c r="I59" s="2811"/>
      <c r="J59" s="2811"/>
      <c r="K59" s="2811"/>
      <c r="L59" s="487"/>
      <c r="M59" s="2810" t="s">
        <v>142</v>
      </c>
      <c r="N59" s="2811"/>
      <c r="O59" s="2811"/>
      <c r="P59" s="2811"/>
      <c r="Q59" s="487"/>
      <c r="R59" s="2810" t="s">
        <v>157</v>
      </c>
      <c r="S59" s="2811"/>
      <c r="T59" s="2811"/>
      <c r="U59" s="2811"/>
      <c r="V59" s="2811"/>
      <c r="W59" s="2811"/>
      <c r="X59" s="2811"/>
      <c r="Y59" s="2811"/>
      <c r="Z59" s="2811"/>
      <c r="AA59" s="487"/>
      <c r="AB59" s="2810" t="s">
        <v>142</v>
      </c>
      <c r="AC59" s="2811"/>
      <c r="AD59" s="2811"/>
      <c r="AE59" s="2811"/>
      <c r="AF59" s="487"/>
      <c r="AG59" s="487"/>
      <c r="AH59" s="487"/>
      <c r="AI59" s="487"/>
      <c r="AJ59" s="487"/>
      <c r="AK59" s="487"/>
      <c r="AL59" s="487"/>
      <c r="AM59" s="487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1"/>
      <c r="CC59" s="281"/>
      <c r="CD59" s="281"/>
      <c r="CE59" s="281"/>
      <c r="CF59" s="281"/>
      <c r="CG59" s="281"/>
      <c r="CH59" s="281"/>
      <c r="CI59" s="281"/>
      <c r="CJ59" s="281"/>
      <c r="CK59" s="281"/>
      <c r="CL59" s="281"/>
      <c r="CM59" s="281"/>
      <c r="CN59" s="281"/>
      <c r="CO59" s="281"/>
      <c r="CP59" s="281"/>
      <c r="CQ59" s="281"/>
      <c r="CR59" s="281"/>
      <c r="CS59" s="281"/>
      <c r="CT59" s="281"/>
      <c r="CU59" s="281"/>
      <c r="CV59" s="281"/>
      <c r="CW59" s="281"/>
      <c r="CX59" s="281"/>
      <c r="CY59" s="281"/>
      <c r="CZ59" s="281"/>
      <c r="DA59" s="281"/>
      <c r="DB59" s="281"/>
      <c r="DC59" s="281"/>
      <c r="DD59" s="281"/>
      <c r="DE59" s="281"/>
      <c r="DF59" s="281"/>
      <c r="DG59" s="281"/>
      <c r="DH59" s="281"/>
      <c r="DI59" s="281"/>
      <c r="DJ59" s="281"/>
      <c r="DK59" s="281"/>
      <c r="DL59" s="281"/>
      <c r="DM59" s="281"/>
      <c r="DN59" s="281"/>
      <c r="DO59" s="281"/>
      <c r="DP59" s="281"/>
      <c r="DQ59" s="281"/>
      <c r="DR59" s="281"/>
      <c r="DS59" s="281"/>
      <c r="DT59" s="281"/>
      <c r="DU59" s="281"/>
      <c r="DV59" s="281"/>
      <c r="DW59" s="281"/>
      <c r="DX59" s="281"/>
      <c r="DY59" s="281"/>
      <c r="DZ59" s="281"/>
      <c r="EA59" s="281"/>
      <c r="EB59" s="281"/>
      <c r="EC59" s="281"/>
      <c r="ED59" s="281"/>
      <c r="EE59" s="281"/>
      <c r="EF59" s="281"/>
      <c r="EG59" s="281"/>
      <c r="EH59" s="281"/>
      <c r="EI59" s="281"/>
      <c r="EJ59" s="281"/>
      <c r="EK59" s="281"/>
      <c r="EL59" s="281"/>
      <c r="EM59" s="281"/>
      <c r="EN59" s="281"/>
      <c r="EO59" s="281"/>
      <c r="EP59" s="281"/>
      <c r="EQ59" s="281"/>
      <c r="ER59" s="281"/>
      <c r="ES59" s="281"/>
      <c r="ET59" s="281"/>
      <c r="EU59" s="281"/>
      <c r="EV59" s="281"/>
      <c r="EW59" s="281"/>
      <c r="EX59" s="281"/>
      <c r="EY59" s="281"/>
      <c r="EZ59" s="281"/>
      <c r="FA59" s="281"/>
      <c r="FB59" s="281"/>
      <c r="FC59" s="281"/>
      <c r="FD59" s="281"/>
      <c r="FE59" s="281"/>
      <c r="FF59" s="281"/>
      <c r="FG59" s="281"/>
      <c r="FH59" s="281"/>
      <c r="FI59" s="281"/>
      <c r="FJ59" s="281"/>
      <c r="FK59" s="281"/>
      <c r="FL59" s="281"/>
      <c r="FM59" s="281"/>
      <c r="FN59" s="281"/>
      <c r="FO59" s="281"/>
      <c r="FP59" s="281"/>
      <c r="FQ59" s="281"/>
      <c r="FR59" s="281"/>
      <c r="FS59" s="281"/>
      <c r="FT59" s="281"/>
      <c r="FU59" s="281"/>
      <c r="FV59" s="281"/>
      <c r="FW59" s="281"/>
      <c r="FX59" s="281"/>
      <c r="FY59" s="281"/>
      <c r="FZ59" s="281"/>
      <c r="GA59" s="281"/>
      <c r="GB59" s="281"/>
      <c r="GC59" s="281"/>
      <c r="GD59" s="281"/>
      <c r="GE59" s="281"/>
      <c r="GF59" s="281"/>
      <c r="GG59" s="281"/>
      <c r="GH59" s="281"/>
      <c r="GI59" s="281"/>
      <c r="GJ59" s="281"/>
      <c r="GK59" s="281"/>
      <c r="GL59" s="281"/>
      <c r="GM59" s="281"/>
      <c r="GN59" s="281"/>
      <c r="GO59" s="281"/>
      <c r="GP59" s="281"/>
      <c r="GQ59" s="281"/>
      <c r="GR59" s="281"/>
      <c r="GS59" s="281"/>
      <c r="GT59" s="281"/>
      <c r="GU59" s="281"/>
      <c r="GV59" s="281"/>
      <c r="GW59" s="281"/>
      <c r="GX59" s="281"/>
      <c r="GY59" s="281"/>
      <c r="GZ59" s="281"/>
      <c r="HA59" s="281"/>
      <c r="HB59" s="281"/>
      <c r="HC59" s="281"/>
      <c r="HD59" s="281"/>
      <c r="HE59" s="281"/>
      <c r="HF59" s="281"/>
      <c r="HG59" s="281"/>
      <c r="HH59" s="281"/>
      <c r="HI59" s="281"/>
      <c r="HJ59" s="281"/>
      <c r="HK59" s="281"/>
      <c r="HL59" s="281"/>
      <c r="HM59" s="281"/>
      <c r="HN59" s="281"/>
      <c r="HO59" s="281"/>
      <c r="HP59" s="281"/>
      <c r="HQ59" s="281"/>
      <c r="HR59" s="281"/>
      <c r="HS59" s="281"/>
      <c r="HT59" s="281"/>
      <c r="HU59" s="281"/>
      <c r="HV59" s="281"/>
      <c r="HW59" s="281"/>
      <c r="HX59" s="281"/>
      <c r="HY59" s="281"/>
      <c r="HZ59" s="281"/>
      <c r="IA59" s="281"/>
      <c r="IB59" s="281"/>
      <c r="IC59" s="281"/>
      <c r="ID59" s="281"/>
      <c r="IE59" s="281"/>
      <c r="IF59" s="281"/>
      <c r="IG59" s="281"/>
      <c r="IH59" s="281"/>
      <c r="II59" s="281"/>
      <c r="IJ59" s="281"/>
      <c r="IK59" s="281"/>
      <c r="IL59" s="281"/>
      <c r="IM59" s="281"/>
      <c r="IN59" s="281"/>
      <c r="IO59" s="281"/>
      <c r="IP59" s="282"/>
    </row>
    <row r="60" spans="1:250" s="1411" customFormat="1" ht="13" customHeight="1" x14ac:dyDescent="0.15">
      <c r="A60" s="1194"/>
      <c r="B60" s="1194"/>
      <c r="C60" s="1194"/>
      <c r="D60" s="1194"/>
      <c r="E60" s="1194"/>
      <c r="F60" s="1194"/>
      <c r="G60" s="1194"/>
      <c r="H60" s="1194"/>
      <c r="I60" s="1194"/>
      <c r="J60" s="1194"/>
      <c r="K60" s="1194"/>
      <c r="L60" s="1194"/>
      <c r="M60" s="1194"/>
      <c r="N60" s="1194"/>
      <c r="O60" s="1194"/>
      <c r="P60" s="1194"/>
      <c r="Q60" s="1194"/>
      <c r="R60" s="1194"/>
      <c r="S60" s="1194"/>
      <c r="T60" s="1194"/>
      <c r="U60" s="1194"/>
      <c r="V60" s="1194"/>
      <c r="W60" s="1194"/>
      <c r="X60" s="1194"/>
      <c r="Y60" s="1194"/>
      <c r="Z60" s="1194"/>
      <c r="AA60" s="1194"/>
      <c r="AB60" s="1194"/>
      <c r="AC60" s="1194"/>
      <c r="AD60" s="1194"/>
      <c r="AE60" s="1194"/>
      <c r="AF60" s="1194"/>
      <c r="AG60" s="1194"/>
      <c r="AH60" s="1194"/>
      <c r="AI60" s="1194"/>
      <c r="AJ60" s="1194"/>
      <c r="AK60" s="1194"/>
      <c r="AL60" s="1194"/>
      <c r="AM60" s="1194"/>
      <c r="AN60" s="1194"/>
      <c r="AO60" s="1194"/>
      <c r="AP60" s="1194"/>
      <c r="AQ60" s="1194"/>
      <c r="AR60" s="1194"/>
      <c r="AS60" s="1194"/>
      <c r="AT60" s="1194"/>
      <c r="AU60" s="1194"/>
      <c r="AV60" s="1194"/>
      <c r="AW60" s="1194"/>
      <c r="AX60" s="1194"/>
      <c r="AY60" s="1194"/>
      <c r="AZ60" s="1194"/>
      <c r="BA60" s="1194"/>
      <c r="BB60" s="1194"/>
      <c r="BC60" s="1194"/>
      <c r="BD60" s="1194"/>
      <c r="BE60" s="1194"/>
      <c r="BF60" s="1194"/>
      <c r="BG60" s="1194"/>
      <c r="BH60" s="1194"/>
      <c r="BI60" s="1194"/>
      <c r="BJ60" s="1194"/>
      <c r="BK60" s="1194"/>
      <c r="BL60" s="1194"/>
      <c r="BM60" s="1194"/>
      <c r="BN60" s="1194"/>
      <c r="BO60" s="1194"/>
      <c r="BP60" s="1194"/>
      <c r="BQ60" s="1194"/>
      <c r="BR60" s="1194"/>
      <c r="BS60" s="1194"/>
      <c r="BT60" s="1194"/>
      <c r="BU60" s="1194"/>
      <c r="BV60" s="1194"/>
      <c r="BW60" s="1194"/>
      <c r="BX60" s="1194"/>
      <c r="BY60" s="1194"/>
      <c r="BZ60" s="1194"/>
      <c r="CA60" s="1194"/>
      <c r="CB60" s="1194"/>
      <c r="CC60" s="1194"/>
      <c r="CD60" s="1194"/>
      <c r="CE60" s="1194"/>
      <c r="CF60" s="1194"/>
      <c r="CG60" s="1194"/>
      <c r="CH60" s="1194"/>
      <c r="CI60" s="1194"/>
      <c r="CJ60" s="1194"/>
      <c r="CK60" s="1194"/>
      <c r="CL60" s="1194"/>
      <c r="CM60" s="1194"/>
      <c r="CN60" s="1194"/>
      <c r="CO60" s="1194"/>
      <c r="CP60" s="1194"/>
      <c r="CQ60" s="1194"/>
      <c r="CR60" s="1194"/>
      <c r="CS60" s="1194"/>
      <c r="CT60" s="1194"/>
      <c r="CU60" s="1194"/>
      <c r="CV60" s="1194"/>
      <c r="CW60" s="1194"/>
      <c r="CX60" s="1194"/>
      <c r="CY60" s="1194"/>
      <c r="CZ60" s="1194"/>
      <c r="DA60" s="1194"/>
      <c r="DB60" s="1194"/>
      <c r="DC60" s="1194"/>
      <c r="DD60" s="1194"/>
      <c r="DE60" s="1194"/>
      <c r="DF60" s="1194"/>
      <c r="DG60" s="1194"/>
      <c r="DH60" s="1194"/>
      <c r="DI60" s="1194"/>
      <c r="DJ60" s="1194"/>
      <c r="DK60" s="1194"/>
      <c r="DL60" s="1194"/>
      <c r="DM60" s="1194"/>
      <c r="DN60" s="1194"/>
      <c r="DO60" s="1194"/>
      <c r="DP60" s="1194"/>
      <c r="DQ60" s="1194"/>
      <c r="DR60" s="1194"/>
      <c r="DS60" s="1194"/>
      <c r="DT60" s="1194"/>
      <c r="DU60" s="1194"/>
      <c r="DV60" s="1194"/>
      <c r="DW60" s="1194"/>
      <c r="DX60" s="1194"/>
      <c r="DY60" s="1194"/>
      <c r="DZ60" s="1194"/>
      <c r="EA60" s="1194"/>
      <c r="EB60" s="1194"/>
      <c r="EC60" s="1194"/>
      <c r="ED60" s="1194"/>
      <c r="EE60" s="1194"/>
      <c r="EF60" s="1194"/>
      <c r="EG60" s="1194"/>
      <c r="EH60" s="1194"/>
      <c r="EI60" s="1194"/>
      <c r="EJ60" s="1194"/>
      <c r="EK60" s="1194"/>
      <c r="EL60" s="1194"/>
      <c r="EM60" s="1194"/>
      <c r="EN60" s="1194"/>
      <c r="EO60" s="1194"/>
      <c r="EP60" s="1194"/>
      <c r="EQ60" s="1194"/>
      <c r="ER60" s="1194"/>
      <c r="ES60" s="1194"/>
      <c r="ET60" s="1194"/>
      <c r="EU60" s="1194"/>
      <c r="EV60" s="1194"/>
      <c r="EW60" s="1194"/>
      <c r="EX60" s="1194"/>
      <c r="EY60" s="1194"/>
      <c r="EZ60" s="1194"/>
      <c r="FA60" s="1194"/>
      <c r="FB60" s="1194"/>
      <c r="FC60" s="1194"/>
      <c r="FD60" s="1194"/>
      <c r="FE60" s="1194"/>
      <c r="FF60" s="1194"/>
      <c r="FG60" s="1194"/>
      <c r="FH60" s="1194"/>
      <c r="FI60" s="1194"/>
      <c r="FJ60" s="1194"/>
      <c r="FK60" s="1194"/>
      <c r="FL60" s="1194"/>
      <c r="FM60" s="1194"/>
      <c r="FN60" s="1194"/>
      <c r="FO60" s="1194"/>
      <c r="FP60" s="1194"/>
      <c r="FQ60" s="1194"/>
      <c r="FR60" s="1194"/>
      <c r="FS60" s="1194"/>
      <c r="FT60" s="1194"/>
      <c r="FU60" s="1194"/>
      <c r="FV60" s="1194"/>
      <c r="FW60" s="1194"/>
      <c r="FX60" s="1194"/>
      <c r="FY60" s="1194"/>
      <c r="FZ60" s="1194"/>
      <c r="GA60" s="1194"/>
      <c r="GB60" s="1194"/>
      <c r="GC60" s="1194"/>
      <c r="GD60" s="1194"/>
      <c r="GE60" s="1194"/>
      <c r="GF60" s="1194"/>
      <c r="GG60" s="1194"/>
      <c r="GH60" s="1194"/>
      <c r="GI60" s="1194"/>
      <c r="GJ60" s="1194"/>
      <c r="GK60" s="1194"/>
      <c r="GL60" s="1194"/>
      <c r="GM60" s="1194"/>
      <c r="GN60" s="1194"/>
      <c r="GO60" s="1194"/>
      <c r="GP60" s="1194"/>
      <c r="GQ60" s="1194"/>
      <c r="GR60" s="1194"/>
      <c r="GS60" s="1194"/>
      <c r="GT60" s="1194"/>
      <c r="GU60" s="1194"/>
      <c r="GV60" s="1194"/>
      <c r="GW60" s="1194"/>
      <c r="GX60" s="1194"/>
      <c r="GY60" s="1194"/>
      <c r="GZ60" s="1194"/>
      <c r="HA60" s="1194"/>
      <c r="HB60" s="1194"/>
      <c r="HC60" s="1194"/>
      <c r="HD60" s="1194"/>
      <c r="HE60" s="1194"/>
      <c r="HF60" s="1194"/>
      <c r="HG60" s="1194"/>
      <c r="HH60" s="1194"/>
      <c r="HI60" s="1194"/>
      <c r="HJ60" s="1194"/>
      <c r="HK60" s="1194"/>
      <c r="HL60" s="1194"/>
      <c r="HM60" s="1194"/>
      <c r="HN60" s="1194"/>
      <c r="HO60" s="1194"/>
      <c r="HP60" s="1194"/>
      <c r="HQ60" s="1194"/>
      <c r="HR60" s="1194"/>
      <c r="HS60" s="1194"/>
      <c r="HT60" s="1194"/>
      <c r="HU60" s="1194"/>
      <c r="HV60" s="1194"/>
      <c r="HW60" s="1194"/>
      <c r="HX60" s="1194"/>
      <c r="HY60" s="1194"/>
      <c r="HZ60" s="1194"/>
      <c r="IA60" s="1194"/>
      <c r="IB60" s="1194"/>
      <c r="IC60" s="1194"/>
      <c r="ID60" s="1194"/>
      <c r="IE60" s="1194"/>
      <c r="IF60" s="1194"/>
      <c r="IG60" s="1194"/>
      <c r="IH60" s="1194"/>
      <c r="II60" s="1194"/>
      <c r="IJ60" s="1194"/>
      <c r="IK60" s="1194"/>
      <c r="IL60" s="1194"/>
      <c r="IM60" s="1194"/>
      <c r="IN60" s="1194"/>
      <c r="IO60" s="1194"/>
      <c r="IP60" s="1194"/>
    </row>
  </sheetData>
  <sortState ref="AN34:AT44">
    <sortCondition ref="AT34:AT44"/>
  </sortState>
  <mergeCells count="28">
    <mergeCell ref="H15:K15"/>
    <mergeCell ref="C15:F15"/>
    <mergeCell ref="AB59:AE59"/>
    <mergeCell ref="H45:K45"/>
    <mergeCell ref="C45:F45"/>
    <mergeCell ref="C31:F31"/>
    <mergeCell ref="H16:K16"/>
    <mergeCell ref="H30:K30"/>
    <mergeCell ref="R59:Z59"/>
    <mergeCell ref="C30:F30"/>
    <mergeCell ref="M59:P59"/>
    <mergeCell ref="H59:K59"/>
    <mergeCell ref="C59:F59"/>
    <mergeCell ref="R45:Z45"/>
    <mergeCell ref="BU14:BW14"/>
    <mergeCell ref="M45:P45"/>
    <mergeCell ref="AN31:AT31"/>
    <mergeCell ref="R30:Z30"/>
    <mergeCell ref="BR14:BT14"/>
    <mergeCell ref="AB45:AE45"/>
    <mergeCell ref="BI14:BK14"/>
    <mergeCell ref="AO17:AZ17"/>
    <mergeCell ref="BL14:BN14"/>
    <mergeCell ref="BO14:BQ14"/>
    <mergeCell ref="AB30:AE30"/>
    <mergeCell ref="M30:P30"/>
    <mergeCell ref="AB15:AE15"/>
    <mergeCell ref="R15:Z15"/>
  </mergeCells>
  <pageMargins left="0.74791700000000005" right="0.74791700000000005" top="0.98402800000000001" bottom="0.98402800000000001" header="0.51180599999999998" footer="0.51180599999999998"/>
  <pageSetup orientation="portrait"/>
  <headerFooter>
    <oddFooter>&amp;C&amp;"Helvetica Neue,Regular"&amp;12&amp;K000000&amp;P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70" zoomScaleNormal="170" workbookViewId="0">
      <selection activeCell="L5" sqref="L5"/>
    </sheetView>
  </sheetViews>
  <sheetFormatPr baseColWidth="10" defaultColWidth="8.83203125" defaultRowHeight="13" customHeight="1" x14ac:dyDescent="0.15"/>
  <cols>
    <col min="1" max="1" width="8.83203125" style="1021" customWidth="1"/>
    <col min="2" max="2" width="11.1640625" style="1021" customWidth="1"/>
    <col min="3" max="3" width="10.6640625" style="1021" customWidth="1"/>
    <col min="4" max="4" width="13.1640625" style="1021" customWidth="1"/>
    <col min="5" max="5" width="12.33203125" style="1021" customWidth="1"/>
    <col min="6" max="7" width="13.1640625" style="1021" customWidth="1"/>
    <col min="8" max="8" width="12.6640625" style="1021" customWidth="1"/>
    <col min="9" max="10" width="13.1640625" style="1021" customWidth="1"/>
    <col min="11" max="12" width="12.6640625" style="1021" customWidth="1"/>
    <col min="13" max="13" width="11.1640625" style="1021" customWidth="1"/>
    <col min="14" max="14" width="8.83203125" style="1021" customWidth="1"/>
    <col min="15" max="15" width="19" style="1021" customWidth="1"/>
    <col min="16" max="16" width="8.83203125" style="1021" customWidth="1"/>
    <col min="17" max="256" width="8.83203125" customWidth="1"/>
  </cols>
  <sheetData>
    <row r="1" spans="1:16" ht="14" customHeight="1" x14ac:dyDescent="0.15">
      <c r="A1" s="986"/>
      <c r="B1" s="2828" t="s">
        <v>295</v>
      </c>
      <c r="C1" s="2829"/>
      <c r="D1" s="2829"/>
      <c r="E1" s="2829"/>
      <c r="F1" s="2829"/>
      <c r="G1" s="2829"/>
      <c r="H1" s="2829"/>
      <c r="I1" s="2829"/>
      <c r="J1" s="2829"/>
      <c r="K1" s="2829"/>
      <c r="L1" s="2829"/>
      <c r="M1" s="2829"/>
      <c r="N1" s="987"/>
      <c r="O1" s="262"/>
      <c r="P1" s="277"/>
    </row>
    <row r="2" spans="1:16" ht="29" customHeight="1" x14ac:dyDescent="0.15">
      <c r="A2" s="6"/>
      <c r="B2" s="301"/>
      <c r="C2" s="30" t="s">
        <v>9</v>
      </c>
      <c r="D2" s="31" t="s">
        <v>10</v>
      </c>
      <c r="E2" s="32" t="s">
        <v>11</v>
      </c>
      <c r="F2" s="908" t="s">
        <v>23</v>
      </c>
      <c r="G2" s="34" t="s">
        <v>13</v>
      </c>
      <c r="H2" s="909" t="s">
        <v>14</v>
      </c>
      <c r="I2" s="815" t="s">
        <v>15</v>
      </c>
      <c r="J2" s="988" t="s">
        <v>16</v>
      </c>
      <c r="K2" s="38" t="s">
        <v>17</v>
      </c>
      <c r="L2" s="39" t="s">
        <v>18</v>
      </c>
      <c r="M2" s="284"/>
      <c r="N2" s="301"/>
      <c r="O2" s="281"/>
      <c r="P2" s="282"/>
    </row>
    <row r="3" spans="1:16" ht="15" customHeight="1" x14ac:dyDescent="0.15">
      <c r="A3" s="6"/>
      <c r="B3" s="817" t="s">
        <v>29</v>
      </c>
      <c r="C3" s="383">
        <f>Données!F43</f>
        <v>2.528082232E-3</v>
      </c>
      <c r="D3" s="447">
        <f>Données!F44</f>
        <v>0.67545368735599998</v>
      </c>
      <c r="E3" s="820">
        <f>Données!F45</f>
        <v>1.6019588482030001</v>
      </c>
      <c r="F3" s="433">
        <f>Données!F46</f>
        <v>0.99111767683800001</v>
      </c>
      <c r="G3" s="822">
        <f>Données!F47</f>
        <v>2.4501554357469999</v>
      </c>
      <c r="H3" s="364">
        <f>Données!F48</f>
        <v>6.401307282596</v>
      </c>
      <c r="I3" s="308">
        <f>Données!H36</f>
        <v>9.5762349930700008</v>
      </c>
      <c r="J3" s="417">
        <f>Données!F50</f>
        <v>20.023732295835</v>
      </c>
      <c r="K3" s="825">
        <f>Données!F51</f>
        <v>30.591102728172</v>
      </c>
      <c r="L3" s="826">
        <f>Données!F52</f>
        <v>30.698360483142999</v>
      </c>
      <c r="M3" s="827" t="s">
        <v>29</v>
      </c>
      <c r="N3" s="1003"/>
      <c r="O3" s="281"/>
      <c r="P3" s="1022"/>
    </row>
    <row r="4" spans="1:16" ht="15" customHeight="1" x14ac:dyDescent="0.15">
      <c r="A4" s="6"/>
      <c r="B4" s="817" t="s">
        <v>142</v>
      </c>
      <c r="C4" s="369">
        <f>((C3-DG!C$3)/(DG!C$4-DG!C$3))/10</f>
        <v>5.4383553599998127</v>
      </c>
      <c r="D4" s="314">
        <f>((D3-DG!D$3)/(DG!D$4-DG!D$3))/10</f>
        <v>8.3383295969028026</v>
      </c>
      <c r="E4" s="546">
        <f>((E3-DG!E$3)/(DG!E$4-DG!E$3))/10</f>
        <v>0.94265554865107437</v>
      </c>
      <c r="F4" s="434">
        <f>((F3-DG!F$3)/(DG!F$4-DG!F$3))/10</f>
        <v>7.6577821815406013</v>
      </c>
      <c r="G4" s="502">
        <f>((G3-DG!G$3)/(DG!G$4-DG!G$3))/10</f>
        <v>1.0065433499184109</v>
      </c>
      <c r="H4" s="365">
        <f>((H3-DG!H$3)/(DG!H$4-DG!H$3))/10</f>
        <v>0.27727760421355618</v>
      </c>
      <c r="I4" s="309">
        <f>((I3-DG!I$3)/(DG!I$4-DG!I$3))/10</f>
        <v>4.8504014172647985</v>
      </c>
      <c r="J4" s="438">
        <f>((J3-DG!J$3)/(DG!J$4-DG!J$3))/10</f>
        <v>2.8299446280060905</v>
      </c>
      <c r="K4" s="514">
        <f>((K3-DG!K$3)/(DG!K$4-DG!K$3))/10</f>
        <v>2.9909846494296217</v>
      </c>
      <c r="L4" s="345">
        <f>((L3-DG!L$3)/(DG!L$4-DG!L$3))/10</f>
        <v>8.9963624185966911</v>
      </c>
      <c r="M4" s="827" t="s">
        <v>142</v>
      </c>
      <c r="N4" s="1003"/>
      <c r="O4" s="281"/>
      <c r="P4" s="1022"/>
    </row>
    <row r="5" spans="1:16" ht="15" customHeight="1" x14ac:dyDescent="0.15">
      <c r="A5" s="6"/>
      <c r="B5" s="817" t="s">
        <v>296</v>
      </c>
      <c r="C5" s="1708">
        <f>Données!C43</f>
        <v>276.79899999999998</v>
      </c>
      <c r="D5" s="1709">
        <f>Données!C44</f>
        <v>33.526000000000003</v>
      </c>
      <c r="E5" s="1710">
        <f>Données!C45</f>
        <v>19.712</v>
      </c>
      <c r="F5" s="1711">
        <f>Données!C46</f>
        <v>34.110999999999997</v>
      </c>
      <c r="G5" s="1712">
        <f>Données!C47</f>
        <v>44.499000000000002</v>
      </c>
      <c r="H5" s="1713">
        <f>Données!C48</f>
        <v>21.896000000000001</v>
      </c>
      <c r="I5" s="1714">
        <f>Données!C49</f>
        <v>115.929</v>
      </c>
      <c r="J5" s="102">
        <f>Données!C50</f>
        <v>81.042000000000002</v>
      </c>
      <c r="K5" s="103">
        <f>Données!C51</f>
        <v>81.718000000000004</v>
      </c>
      <c r="L5" s="1017">
        <f>Données!C52</f>
        <v>53.091999999999999</v>
      </c>
      <c r="M5" s="827" t="s">
        <v>296</v>
      </c>
      <c r="N5" s="1003"/>
      <c r="O5" s="281"/>
      <c r="P5" s="282"/>
    </row>
    <row r="6" spans="1:16" ht="15" customHeight="1" x14ac:dyDescent="0.15">
      <c r="A6" s="6"/>
      <c r="B6" s="1023" t="s">
        <v>297</v>
      </c>
      <c r="C6" s="2826" t="s">
        <v>298</v>
      </c>
      <c r="D6" s="2827"/>
      <c r="E6" s="1024">
        <f>Données!H44</f>
        <v>67.874335187</v>
      </c>
      <c r="F6" s="1025"/>
      <c r="G6" s="2826" t="s">
        <v>299</v>
      </c>
      <c r="H6" s="2827"/>
      <c r="I6" s="1024">
        <f>Données!H46</f>
        <v>292.361897226</v>
      </c>
      <c r="J6" s="1026" t="s">
        <v>300</v>
      </c>
      <c r="K6" s="1026" t="s">
        <v>301</v>
      </c>
      <c r="L6" s="1027"/>
      <c r="M6" s="827" t="s">
        <v>297</v>
      </c>
      <c r="N6" s="1003"/>
      <c r="O6" s="281"/>
      <c r="P6" s="282"/>
    </row>
    <row r="7" spans="1:16" ht="15" customHeight="1" x14ac:dyDescent="0.15">
      <c r="A7" s="6"/>
      <c r="B7" s="835" t="s">
        <v>139</v>
      </c>
      <c r="C7" s="2655">
        <f>I6-C5</f>
        <v>15.562897226000018</v>
      </c>
      <c r="D7" s="2656">
        <f>D5</f>
        <v>33.526000000000003</v>
      </c>
      <c r="E7" s="2657">
        <f>E5</f>
        <v>19.712</v>
      </c>
      <c r="F7" s="2664">
        <f>E6-F5</f>
        <v>33.763335187000003</v>
      </c>
      <c r="G7" s="2663">
        <f>E6-G5</f>
        <v>23.375335186999997</v>
      </c>
      <c r="H7" s="2658">
        <f>H5</f>
        <v>21.896000000000001</v>
      </c>
      <c r="I7" s="2659">
        <f>I5-E6</f>
        <v>48.054664813000002</v>
      </c>
      <c r="J7" s="2660">
        <f>J5-E6</f>
        <v>13.167664813000002</v>
      </c>
      <c r="K7" s="2661">
        <f>K5-E6</f>
        <v>13.843664813000004</v>
      </c>
      <c r="L7" s="2662">
        <f>E6-L5</f>
        <v>14.782335187000001</v>
      </c>
      <c r="M7" s="844" t="s">
        <v>302</v>
      </c>
      <c r="N7" s="850"/>
      <c r="O7" s="100" t="s">
        <v>32</v>
      </c>
      <c r="P7" s="282"/>
    </row>
    <row r="8" spans="1:16" ht="15" customHeight="1" x14ac:dyDescent="0.15">
      <c r="A8" s="6"/>
      <c r="B8" s="1028" t="s">
        <v>303</v>
      </c>
      <c r="C8" s="369">
        <f>Données!E43</f>
        <v>-10.44</v>
      </c>
      <c r="D8" s="314">
        <f>Données!E44</f>
        <v>3.12</v>
      </c>
      <c r="E8" s="546">
        <f>Données!E45</f>
        <v>-3.37</v>
      </c>
      <c r="F8" s="434">
        <f>Données!E46</f>
        <v>-26.7</v>
      </c>
      <c r="G8" s="502">
        <f>Données!E47</f>
        <v>1.67</v>
      </c>
      <c r="H8" s="365">
        <f>Données!E48</f>
        <v>-1.22</v>
      </c>
      <c r="I8" s="309">
        <f>Données!E49</f>
        <v>1.43</v>
      </c>
      <c r="J8" s="418">
        <f>Données!E50</f>
        <v>6.12</v>
      </c>
      <c r="K8" s="514">
        <f>Données!E51</f>
        <v>7.78</v>
      </c>
      <c r="L8" s="345">
        <f>Données!E52</f>
        <v>14.66</v>
      </c>
      <c r="M8" s="1029" t="s">
        <v>303</v>
      </c>
      <c r="N8" s="850"/>
      <c r="O8" s="101">
        <v>117</v>
      </c>
      <c r="P8" s="282"/>
    </row>
    <row r="9" spans="1:16" ht="15" customHeight="1" x14ac:dyDescent="0.15">
      <c r="A9" s="6"/>
      <c r="B9" s="1028" t="s">
        <v>304</v>
      </c>
      <c r="C9" s="369">
        <f>(($C8-MAGNI!$B8)/(MAGNI!$B9-MAGNI!$B8))/10</f>
        <v>8.4575163398692794</v>
      </c>
      <c r="D9" s="314">
        <f>(($D8-MAGNI!$C8)/(MAGNI!$C9-MAGNI!$C8))/10</f>
        <v>3.1315789473684363</v>
      </c>
      <c r="E9" s="546">
        <f>(($E8-MAGNI!$D8)/(MAGNI!$D9-MAGNI!$D8))/10</f>
        <v>0.36842105263157798</v>
      </c>
      <c r="F9" s="434">
        <f>(($F8-MAGNI!$E8)/(MAGNI!$E9-MAGNI!$E8))/10</f>
        <v>1.1111111111090934</v>
      </c>
      <c r="G9" s="502">
        <f>(($G8-MAGNI!$F8)/(MAGNI!$F9-MAGNI!$F8))/10</f>
        <v>0.76767676767676596</v>
      </c>
      <c r="H9" s="365">
        <f>(($H8-MAGNI!$G8)/(MAGNI!$G9-MAGNI!$G8))/10</f>
        <v>1.222222222222221</v>
      </c>
      <c r="I9" s="309">
        <f>(($I8-MAGNI!$H8)/(MAGNI!$H9-MAGNI!$H8))/10</f>
        <v>0.44554455445544605</v>
      </c>
      <c r="J9" s="418">
        <f>(($J8-MAGNI!$I8)/(MAGNI!$I9-MAGNI!$I8))/10</f>
        <v>0.89887640449441464</v>
      </c>
      <c r="K9" s="514">
        <f>(($K8-MAGNI!$J8)/(MAGNI!$J9-MAGNI!$J8))/10</f>
        <v>1.333333333333284</v>
      </c>
      <c r="L9" s="345">
        <f>(($L8-MAGNI!$K8)/(MAGNI!$K9-MAGNI!$K8))/10</f>
        <v>5.850000000000124</v>
      </c>
      <c r="M9" s="1029" t="s">
        <v>304</v>
      </c>
      <c r="N9" s="850"/>
      <c r="O9" s="101">
        <v>37</v>
      </c>
      <c r="P9" s="282"/>
    </row>
    <row r="10" spans="1:16" ht="13.75" customHeight="1" x14ac:dyDescent="0.15">
      <c r="A10" s="6"/>
      <c r="B10" s="1030" t="s">
        <v>305</v>
      </c>
      <c r="C10" s="1715"/>
      <c r="D10" s="1720"/>
      <c r="E10" s="1721"/>
      <c r="F10" s="1722"/>
      <c r="G10" s="1723"/>
      <c r="H10" s="1716"/>
      <c r="I10" s="1717"/>
      <c r="J10" s="1718"/>
      <c r="K10" s="1724"/>
      <c r="L10" s="1719"/>
      <c r="M10" s="1004" t="s">
        <v>305</v>
      </c>
      <c r="N10" s="850"/>
      <c r="O10" s="102">
        <f>O8+O9/60</f>
        <v>117.61666666666666</v>
      </c>
      <c r="P10" s="282"/>
    </row>
    <row r="11" spans="1:16" ht="20" customHeight="1" x14ac:dyDescent="0.15">
      <c r="A11" s="6"/>
      <c r="B11" s="886" t="s">
        <v>68</v>
      </c>
      <c r="C11" s="1005"/>
      <c r="D11" s="887">
        <v>5</v>
      </c>
      <c r="E11" s="888"/>
      <c r="F11" s="889">
        <v>5</v>
      </c>
      <c r="G11" s="890">
        <v>3</v>
      </c>
      <c r="H11" s="1006">
        <v>3</v>
      </c>
      <c r="I11" s="891"/>
      <c r="J11" s="1007">
        <v>1</v>
      </c>
      <c r="K11" s="892">
        <v>1</v>
      </c>
      <c r="L11" s="1008">
        <v>3</v>
      </c>
      <c r="M11" s="893" t="s">
        <v>68</v>
      </c>
      <c r="N11" s="1031"/>
      <c r="O11" s="100" t="s">
        <v>34</v>
      </c>
      <c r="P11" s="282"/>
    </row>
    <row r="12" spans="1:16" ht="20" customHeight="1" x14ac:dyDescent="0.15">
      <c r="A12" s="6"/>
      <c r="B12" s="894" t="s">
        <v>69</v>
      </c>
      <c r="C12" s="1005">
        <v>2</v>
      </c>
      <c r="D12" s="887"/>
      <c r="E12" s="888"/>
      <c r="F12" s="889"/>
      <c r="G12" s="890"/>
      <c r="H12" s="1006"/>
      <c r="I12" s="891"/>
      <c r="J12" s="1007">
        <v>1</v>
      </c>
      <c r="K12" s="892">
        <v>1</v>
      </c>
      <c r="L12" s="1008"/>
      <c r="M12" s="895" t="s">
        <v>69</v>
      </c>
      <c r="N12" s="1032"/>
      <c r="O12" s="103">
        <f>360-O10</f>
        <v>242.38333333333333</v>
      </c>
      <c r="P12" s="282"/>
    </row>
    <row r="13" spans="1:16" ht="20" customHeight="1" x14ac:dyDescent="0.15">
      <c r="A13" s="6"/>
      <c r="B13" s="896" t="s">
        <v>105</v>
      </c>
      <c r="C13" s="1005">
        <v>3</v>
      </c>
      <c r="D13" s="887">
        <v>1</v>
      </c>
      <c r="E13" s="888"/>
      <c r="F13" s="889">
        <v>1</v>
      </c>
      <c r="G13" s="890"/>
      <c r="H13" s="1006"/>
      <c r="I13" s="891"/>
      <c r="J13" s="1007"/>
      <c r="K13" s="892"/>
      <c r="L13" s="1008"/>
      <c r="M13" s="897" t="s">
        <v>105</v>
      </c>
      <c r="N13" s="1033"/>
      <c r="O13" s="281"/>
      <c r="P13" s="282"/>
    </row>
    <row r="14" spans="1:16" ht="20" customHeight="1" x14ac:dyDescent="0.15">
      <c r="A14" s="6"/>
      <c r="B14" s="894" t="s">
        <v>106</v>
      </c>
      <c r="C14" s="1005"/>
      <c r="D14" s="887">
        <v>1</v>
      </c>
      <c r="E14" s="888"/>
      <c r="F14" s="889">
        <v>1</v>
      </c>
      <c r="G14" s="890"/>
      <c r="H14" s="1006">
        <v>1</v>
      </c>
      <c r="I14" s="891">
        <v>2</v>
      </c>
      <c r="J14" s="1007"/>
      <c r="K14" s="892"/>
      <c r="L14" s="1008"/>
      <c r="M14" s="895" t="s">
        <v>106</v>
      </c>
      <c r="N14" s="1032"/>
      <c r="O14" s="23"/>
      <c r="P14" s="282"/>
    </row>
    <row r="15" spans="1:16" ht="20" customHeight="1" x14ac:dyDescent="0.15">
      <c r="A15" s="6"/>
      <c r="B15" s="896" t="s">
        <v>107</v>
      </c>
      <c r="C15" s="1005"/>
      <c r="D15" s="887"/>
      <c r="E15" s="888">
        <v>2</v>
      </c>
      <c r="F15" s="889"/>
      <c r="G15" s="890"/>
      <c r="H15" s="1006">
        <v>2</v>
      </c>
      <c r="I15" s="891"/>
      <c r="J15" s="1007">
        <v>2</v>
      </c>
      <c r="K15" s="892">
        <v>2</v>
      </c>
      <c r="L15" s="1008">
        <v>1</v>
      </c>
      <c r="M15" s="897" t="s">
        <v>107</v>
      </c>
      <c r="N15" s="1033"/>
      <c r="O15" s="281"/>
      <c r="P15" s="282"/>
    </row>
    <row r="16" spans="1:16" ht="20" customHeight="1" x14ac:dyDescent="0.15">
      <c r="A16" s="6"/>
      <c r="B16" s="894" t="s">
        <v>113</v>
      </c>
      <c r="C16" s="1005"/>
      <c r="D16" s="887">
        <v>2</v>
      </c>
      <c r="E16" s="888"/>
      <c r="F16" s="889">
        <v>1</v>
      </c>
      <c r="G16" s="890"/>
      <c r="H16" s="1006"/>
      <c r="I16" s="891"/>
      <c r="J16" s="1007">
        <v>2</v>
      </c>
      <c r="K16" s="892">
        <v>1</v>
      </c>
      <c r="L16" s="1008"/>
      <c r="M16" s="895" t="s">
        <v>113</v>
      </c>
      <c r="N16" s="1032"/>
      <c r="O16" s="281"/>
      <c r="P16" s="282"/>
    </row>
    <row r="17" spans="1:16" ht="20" customHeight="1" x14ac:dyDescent="0.15">
      <c r="A17" s="6"/>
      <c r="B17" s="898" t="s">
        <v>72</v>
      </c>
      <c r="C17" s="1005"/>
      <c r="D17" s="887"/>
      <c r="E17" s="888"/>
      <c r="F17" s="889"/>
      <c r="G17" s="890"/>
      <c r="H17" s="1006">
        <v>1</v>
      </c>
      <c r="I17" s="891">
        <v>1</v>
      </c>
      <c r="J17" s="1007"/>
      <c r="K17" s="892"/>
      <c r="L17" s="1008">
        <v>1</v>
      </c>
      <c r="M17" s="899" t="s">
        <v>72</v>
      </c>
      <c r="N17" s="1032"/>
      <c r="O17" s="281"/>
      <c r="P17" s="282"/>
    </row>
    <row r="18" spans="1:16" ht="20" customHeight="1" x14ac:dyDescent="0.15">
      <c r="A18" s="6"/>
      <c r="B18" s="2823" t="s">
        <v>424</v>
      </c>
      <c r="C18" s="2824"/>
      <c r="D18" s="2824"/>
      <c r="E18" s="2824"/>
      <c r="F18" s="2824"/>
      <c r="G18" s="2824"/>
      <c r="H18" s="2824"/>
      <c r="I18" s="2824"/>
      <c r="J18" s="2824"/>
      <c r="K18" s="2824"/>
      <c r="L18" s="2825"/>
      <c r="M18" s="1034"/>
      <c r="N18" s="301"/>
      <c r="O18" s="281"/>
      <c r="P18" s="282"/>
    </row>
    <row r="19" spans="1:16" ht="15" customHeight="1" x14ac:dyDescent="0.15">
      <c r="A19" s="6"/>
      <c r="B19" s="835" t="s">
        <v>273</v>
      </c>
      <c r="C19" s="845">
        <v>8</v>
      </c>
      <c r="D19" s="447">
        <v>1</v>
      </c>
      <c r="E19" s="846">
        <v>10</v>
      </c>
      <c r="F19" s="536">
        <v>2</v>
      </c>
      <c r="G19" s="737">
        <v>5</v>
      </c>
      <c r="H19" s="516">
        <v>3</v>
      </c>
      <c r="I19" s="497">
        <v>9</v>
      </c>
      <c r="J19" s="983">
        <v>6</v>
      </c>
      <c r="K19" s="848">
        <v>7</v>
      </c>
      <c r="L19" s="522">
        <v>4</v>
      </c>
      <c r="M19" s="844" t="s">
        <v>273</v>
      </c>
      <c r="N19" s="850"/>
      <c r="O19" s="281"/>
      <c r="P19" s="282"/>
    </row>
    <row r="20" spans="1:16" ht="15" customHeight="1" x14ac:dyDescent="0.15">
      <c r="A20" s="6"/>
      <c r="B20" s="835" t="s">
        <v>29</v>
      </c>
      <c r="C20" s="1038">
        <f t="shared" ref="C20:L20" si="0">RANK(C4,$C$4:$L$4,0)</f>
        <v>4</v>
      </c>
      <c r="D20" s="525">
        <f t="shared" si="0"/>
        <v>2</v>
      </c>
      <c r="E20" s="1039">
        <f t="shared" si="0"/>
        <v>9</v>
      </c>
      <c r="F20" s="657">
        <f t="shared" si="0"/>
        <v>3</v>
      </c>
      <c r="G20" s="517">
        <f t="shared" si="0"/>
        <v>8</v>
      </c>
      <c r="H20" s="548">
        <f t="shared" si="0"/>
        <v>10</v>
      </c>
      <c r="I20" s="507">
        <f t="shared" si="0"/>
        <v>5</v>
      </c>
      <c r="J20" s="1040">
        <f t="shared" si="0"/>
        <v>7</v>
      </c>
      <c r="K20" s="1041">
        <f t="shared" si="0"/>
        <v>6</v>
      </c>
      <c r="L20" s="1707">
        <f t="shared" si="0"/>
        <v>1</v>
      </c>
      <c r="M20" s="844" t="s">
        <v>29</v>
      </c>
      <c r="N20" s="850"/>
      <c r="O20" s="281"/>
      <c r="P20" s="282"/>
    </row>
    <row r="21" spans="1:16" ht="15" customHeight="1" x14ac:dyDescent="0.15">
      <c r="A21" s="6"/>
      <c r="B21" s="1036" t="s">
        <v>306</v>
      </c>
      <c r="C21" s="1038">
        <f>RANK(C7,C7:L7,1)</f>
        <v>4</v>
      </c>
      <c r="D21" s="525">
        <f>RANK(D7,C7:L7,1)</f>
        <v>8</v>
      </c>
      <c r="E21" s="1039">
        <f>RANK(E7,C7:L7,1)</f>
        <v>5</v>
      </c>
      <c r="F21" s="657">
        <f>RANK(F7,C7:L7,1)</f>
        <v>9</v>
      </c>
      <c r="G21" s="517">
        <f>RANK(G7,C7:L7,1)</f>
        <v>7</v>
      </c>
      <c r="H21" s="548">
        <f>RANK(H7,C7:L7,1)</f>
        <v>6</v>
      </c>
      <c r="I21" s="507">
        <f>RANK(I7,C7:L7,1)</f>
        <v>10</v>
      </c>
      <c r="J21" s="1040">
        <f>RANK(J7,C7:L7,1)</f>
        <v>1</v>
      </c>
      <c r="K21" s="1041">
        <f>RANK(K7,C7:L7,1)</f>
        <v>2</v>
      </c>
      <c r="L21" s="553">
        <f>RANK(L7,C7:L7,1)</f>
        <v>3</v>
      </c>
      <c r="M21" s="844" t="s">
        <v>306</v>
      </c>
      <c r="N21" s="850"/>
      <c r="O21" s="281"/>
      <c r="P21" s="282"/>
    </row>
    <row r="22" spans="1:16" ht="13.75" customHeight="1" x14ac:dyDescent="0.15">
      <c r="A22" s="6"/>
      <c r="B22" s="835" t="s">
        <v>28</v>
      </c>
      <c r="C22" s="580">
        <f t="shared" ref="C22:L22" si="1">RANK(C9,$C$9:$L$9,0)</f>
        <v>1</v>
      </c>
      <c r="D22" s="525">
        <f t="shared" si="1"/>
        <v>3</v>
      </c>
      <c r="E22" s="1039">
        <f t="shared" si="1"/>
        <v>10</v>
      </c>
      <c r="F22" s="657">
        <f t="shared" si="1"/>
        <v>6</v>
      </c>
      <c r="G22" s="517">
        <f t="shared" si="1"/>
        <v>8</v>
      </c>
      <c r="H22" s="548">
        <f t="shared" si="1"/>
        <v>5</v>
      </c>
      <c r="I22" s="507">
        <f t="shared" si="1"/>
        <v>9</v>
      </c>
      <c r="J22" s="1040">
        <f t="shared" si="1"/>
        <v>7</v>
      </c>
      <c r="K22" s="1041">
        <f t="shared" si="1"/>
        <v>4</v>
      </c>
      <c r="L22" s="553">
        <f t="shared" si="1"/>
        <v>2</v>
      </c>
      <c r="M22" s="844" t="s">
        <v>28</v>
      </c>
      <c r="N22" s="301"/>
      <c r="O22" s="1037"/>
      <c r="P22" s="282"/>
    </row>
    <row r="23" spans="1:16" ht="33" customHeight="1" x14ac:dyDescent="0.15">
      <c r="A23" s="6"/>
      <c r="B23" s="301"/>
      <c r="C23" s="30" t="s">
        <v>9</v>
      </c>
      <c r="D23" s="31" t="s">
        <v>10</v>
      </c>
      <c r="E23" s="32" t="s">
        <v>11</v>
      </c>
      <c r="F23" s="908" t="s">
        <v>23</v>
      </c>
      <c r="G23" s="34" t="s">
        <v>13</v>
      </c>
      <c r="H23" s="909" t="s">
        <v>14</v>
      </c>
      <c r="I23" s="815" t="s">
        <v>15</v>
      </c>
      <c r="J23" s="988" t="s">
        <v>16</v>
      </c>
      <c r="K23" s="38" t="s">
        <v>17</v>
      </c>
      <c r="L23" s="39" t="s">
        <v>18</v>
      </c>
      <c r="M23" s="1042"/>
      <c r="N23" s="301"/>
      <c r="O23" s="23"/>
      <c r="P23" s="282"/>
    </row>
    <row r="24" spans="1:16" ht="18" customHeight="1" x14ac:dyDescent="0.15">
      <c r="A24" s="24"/>
      <c r="B24" s="1043"/>
      <c r="C24" s="1044"/>
      <c r="D24" s="1044"/>
      <c r="E24" s="1044"/>
      <c r="F24" s="1044"/>
      <c r="G24" s="1044"/>
      <c r="H24" s="1044"/>
      <c r="I24" s="1044"/>
      <c r="J24" s="1044"/>
      <c r="K24" s="1044"/>
      <c r="L24" s="1044"/>
      <c r="M24" s="1045"/>
      <c r="N24" s="1046"/>
      <c r="O24" s="747"/>
      <c r="P24" s="748"/>
    </row>
  </sheetData>
  <mergeCells count="4">
    <mergeCell ref="B18:L18"/>
    <mergeCell ref="G6:H6"/>
    <mergeCell ref="C6:D6"/>
    <mergeCell ref="B1:M1"/>
  </mergeCells>
  <pageMargins left="0.74791700000000005" right="0.74791700000000005" top="0.98402800000000001" bottom="0.98402800000000001" header="0.51180599999999998" footer="0.51180599999999998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showGridLines="0" zoomScale="130" zoomScaleNormal="130" workbookViewId="0">
      <selection activeCell="E5" sqref="E5"/>
    </sheetView>
  </sheetViews>
  <sheetFormatPr baseColWidth="10" defaultColWidth="8.83203125" defaultRowHeight="13" customHeight="1" x14ac:dyDescent="0.15"/>
  <cols>
    <col min="1" max="1" width="5" style="1126" customWidth="1"/>
    <col min="2" max="2" width="8.83203125" style="1126" customWidth="1"/>
    <col min="3" max="3" width="10.6640625" style="1126" customWidth="1"/>
    <col min="4" max="4" width="12.33203125" style="1126" customWidth="1"/>
    <col min="5" max="5" width="12.1640625" style="1126" customWidth="1"/>
    <col min="6" max="6" width="13.83203125" style="1126" customWidth="1"/>
    <col min="7" max="7" width="18.33203125" style="1126" customWidth="1"/>
    <col min="8" max="8" width="12.1640625" style="1126" customWidth="1"/>
    <col min="9" max="9" width="13.6640625" style="1126" customWidth="1"/>
    <col min="10" max="10" width="13.33203125" style="1126" customWidth="1"/>
    <col min="11" max="11" width="12.1640625" style="1126" customWidth="1"/>
    <col min="12" max="12" width="14" style="1126" customWidth="1"/>
    <col min="13" max="13" width="9.1640625" style="1126" customWidth="1"/>
    <col min="14" max="14" width="18.33203125" style="1126" customWidth="1"/>
    <col min="15" max="15" width="19.33203125" style="1126" customWidth="1"/>
    <col min="16" max="16" width="8.83203125" customWidth="1"/>
    <col min="17" max="17" width="20.5" customWidth="1"/>
    <col min="18" max="242" width="8.83203125" customWidth="1"/>
  </cols>
  <sheetData>
    <row r="1" spans="1:15" ht="13.75" customHeight="1" x14ac:dyDescent="0.15">
      <c r="A1" s="2"/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</row>
    <row r="2" spans="1:15" ht="30" customHeight="1" x14ac:dyDescent="0.15">
      <c r="A2" s="13"/>
      <c r="B2" s="2912" t="s">
        <v>331</v>
      </c>
      <c r="C2" s="1165" t="s">
        <v>9</v>
      </c>
      <c r="D2" s="2758" t="s">
        <v>10</v>
      </c>
      <c r="E2" s="2757" t="s">
        <v>11</v>
      </c>
      <c r="F2" s="2918" t="s">
        <v>12</v>
      </c>
      <c r="G2" s="2756" t="s">
        <v>13</v>
      </c>
      <c r="H2" s="1180" t="s">
        <v>14</v>
      </c>
      <c r="I2" s="1183" t="s">
        <v>15</v>
      </c>
      <c r="J2" s="1187" t="s">
        <v>16</v>
      </c>
      <c r="K2" s="1408" t="s">
        <v>17</v>
      </c>
      <c r="L2" s="1191" t="s">
        <v>18</v>
      </c>
      <c r="M2" s="2912" t="s">
        <v>331</v>
      </c>
      <c r="N2" s="2913" t="s">
        <v>332</v>
      </c>
      <c r="O2" s="281"/>
    </row>
    <row r="3" spans="1:15" s="2930" customFormat="1" ht="16" customHeight="1" x14ac:dyDescent="0.15">
      <c r="A3" s="2920"/>
      <c r="B3" s="2914">
        <v>0</v>
      </c>
      <c r="C3" s="2921">
        <v>2.7999999999999796E-3</v>
      </c>
      <c r="D3" s="2922">
        <v>1.4848419999999996</v>
      </c>
      <c r="E3" s="1660">
        <v>1.7419300000000044</v>
      </c>
      <c r="F3" s="2923">
        <v>1.0167102912000006</v>
      </c>
      <c r="G3" s="2924">
        <v>2.6840129999999971</v>
      </c>
      <c r="H3" s="2915">
        <v>6.4720990000000027</v>
      </c>
      <c r="I3" s="955">
        <v>11.107983999999915</v>
      </c>
      <c r="J3" s="2925">
        <v>21.126785000000172</v>
      </c>
      <c r="K3" s="2926">
        <v>31.399393000000128</v>
      </c>
      <c r="L3" s="2927">
        <v>50.38600000000001</v>
      </c>
      <c r="M3" s="2914">
        <v>0</v>
      </c>
      <c r="N3" s="2928">
        <v>166.42788769120159</v>
      </c>
      <c r="O3" s="2929"/>
    </row>
    <row r="4" spans="1:15" ht="14" customHeight="1" x14ac:dyDescent="0.15">
      <c r="A4" s="13"/>
      <c r="B4" s="2916">
        <v>0.1</v>
      </c>
      <c r="C4" s="2910">
        <v>2.7949999999999798E-3</v>
      </c>
      <c r="D4" s="2751">
        <v>1.4751351599999996</v>
      </c>
      <c r="E4" s="2750">
        <v>1.7270814000000043</v>
      </c>
      <c r="F4" s="1955">
        <v>1.0163760872000005</v>
      </c>
      <c r="G4" s="2754">
        <v>2.6607792699999973</v>
      </c>
      <c r="H4" s="2753">
        <v>6.4465680100000027</v>
      </c>
      <c r="I4" s="407">
        <v>11.076404159999916</v>
      </c>
      <c r="J4" s="1479">
        <v>21.08780711000017</v>
      </c>
      <c r="K4" s="2755">
        <v>31.372368780000127</v>
      </c>
      <c r="L4" s="1399">
        <v>50.16716000000001</v>
      </c>
      <c r="M4" s="2916">
        <v>0.1</v>
      </c>
      <c r="N4" s="2597">
        <v>166.03780637720158</v>
      </c>
      <c r="O4" s="281"/>
    </row>
    <row r="5" spans="1:15" ht="14" customHeight="1" x14ac:dyDescent="0.15">
      <c r="A5" s="13"/>
      <c r="B5" s="2916">
        <v>0.2</v>
      </c>
      <c r="C5" s="2910">
        <v>2.78999999999998E-3</v>
      </c>
      <c r="D5" s="2751">
        <v>1.4654283199999996</v>
      </c>
      <c r="E5" s="2750">
        <v>1.7122328</v>
      </c>
      <c r="F5" s="1955">
        <v>1.0160418832</v>
      </c>
      <c r="G5" s="2754">
        <v>2.6375455400000001</v>
      </c>
      <c r="H5" s="2915">
        <v>6.42103702</v>
      </c>
      <c r="I5" s="407">
        <v>11.044824319999901</v>
      </c>
      <c r="J5" s="1479">
        <v>21.048829220000201</v>
      </c>
      <c r="K5" s="2755">
        <v>31.3453445600001</v>
      </c>
      <c r="L5" s="1399">
        <v>49.948320000000002</v>
      </c>
      <c r="M5" s="2916">
        <v>0.2</v>
      </c>
      <c r="N5" s="2597">
        <v>165.64772506320199</v>
      </c>
      <c r="O5" s="281"/>
    </row>
    <row r="6" spans="1:15" ht="14" customHeight="1" x14ac:dyDescent="0.15">
      <c r="A6" s="13"/>
      <c r="B6" s="2916">
        <v>0.3</v>
      </c>
      <c r="C6" s="2910">
        <v>2.7849999999999802E-3</v>
      </c>
      <c r="D6" s="2751">
        <v>1.45572148</v>
      </c>
      <c r="E6" s="2750">
        <v>1.6973841999999999</v>
      </c>
      <c r="F6" s="1955">
        <v>1.0157076791999999</v>
      </c>
      <c r="G6" s="2754">
        <v>2.6143118099999998</v>
      </c>
      <c r="H6" s="2753">
        <v>6.39550603</v>
      </c>
      <c r="I6" s="407">
        <v>11.0132444799999</v>
      </c>
      <c r="J6" s="1479">
        <v>21.009851330000199</v>
      </c>
      <c r="K6" s="2755">
        <v>31.318320340000099</v>
      </c>
      <c r="L6" s="1399">
        <v>49.729480000000002</v>
      </c>
      <c r="M6" s="2916">
        <v>0.3</v>
      </c>
      <c r="N6" s="2597">
        <v>165.257643749202</v>
      </c>
      <c r="O6" s="281"/>
    </row>
    <row r="7" spans="1:15" ht="14" customHeight="1" x14ac:dyDescent="0.15">
      <c r="A7" s="13"/>
      <c r="B7" s="2916">
        <v>0.4</v>
      </c>
      <c r="C7" s="2910">
        <v>2.77999999999998E-3</v>
      </c>
      <c r="D7" s="2751">
        <v>1.44601464</v>
      </c>
      <c r="E7" s="2750">
        <v>1.6825356</v>
      </c>
      <c r="F7" s="1955">
        <v>1.0153734752000001</v>
      </c>
      <c r="G7" s="2754">
        <v>2.59107808</v>
      </c>
      <c r="H7" s="2915">
        <v>6.3699750399999999</v>
      </c>
      <c r="I7" s="407">
        <v>10.981664639999901</v>
      </c>
      <c r="J7" s="1479">
        <v>20.970873440000201</v>
      </c>
      <c r="K7" s="2755">
        <v>31.291296120000101</v>
      </c>
      <c r="L7" s="1399">
        <v>49.510640000000002</v>
      </c>
      <c r="M7" s="2916">
        <v>0.4</v>
      </c>
      <c r="N7" s="2597">
        <v>164.86756243520199</v>
      </c>
      <c r="O7" s="281"/>
    </row>
    <row r="8" spans="1:15" ht="14" customHeight="1" x14ac:dyDescent="0.15">
      <c r="A8" s="13"/>
      <c r="B8" s="2916">
        <v>0.5</v>
      </c>
      <c r="C8" s="2910">
        <v>2.7749999999999802E-3</v>
      </c>
      <c r="D8" s="2751">
        <v>1.4363078</v>
      </c>
      <c r="E8" s="2750">
        <v>1.6676869999999999</v>
      </c>
      <c r="F8" s="1955">
        <v>1.0150392712</v>
      </c>
      <c r="G8" s="2754">
        <v>2.5678443500000001</v>
      </c>
      <c r="H8" s="2753">
        <v>6.3444440499999999</v>
      </c>
      <c r="I8" s="407">
        <v>10.9500847999999</v>
      </c>
      <c r="J8" s="1479">
        <v>20.931895550000199</v>
      </c>
      <c r="K8" s="2755">
        <v>31.2642719000001</v>
      </c>
      <c r="L8" s="1399">
        <v>49.291800000000002</v>
      </c>
      <c r="M8" s="2916">
        <v>0.5</v>
      </c>
      <c r="N8" s="2597">
        <v>164.477481121202</v>
      </c>
      <c r="O8" s="281"/>
    </row>
    <row r="9" spans="1:15" ht="14" customHeight="1" x14ac:dyDescent="0.15">
      <c r="A9" s="13"/>
      <c r="B9" s="2916">
        <v>0.6</v>
      </c>
      <c r="C9" s="2910">
        <v>2.7699999999999799E-3</v>
      </c>
      <c r="D9" s="2751">
        <v>1.42660096</v>
      </c>
      <c r="E9" s="2750">
        <v>1.6528384</v>
      </c>
      <c r="F9" s="1955">
        <v>1.0147050672</v>
      </c>
      <c r="G9" s="2754">
        <v>2.5446106199999998</v>
      </c>
      <c r="H9" s="2915">
        <v>6.3189130599999999</v>
      </c>
      <c r="I9" s="407">
        <v>10.9185049599999</v>
      </c>
      <c r="J9" s="1479">
        <v>20.892917660000201</v>
      </c>
      <c r="K9" s="2755">
        <v>31.237247680000099</v>
      </c>
      <c r="L9" s="1399">
        <v>49.072960000000002</v>
      </c>
      <c r="M9" s="2916">
        <v>0.6</v>
      </c>
      <c r="N9" s="2597">
        <v>164.08739980720199</v>
      </c>
      <c r="O9" s="281"/>
    </row>
    <row r="10" spans="1:15" ht="14" customHeight="1" x14ac:dyDescent="0.15">
      <c r="A10" s="13"/>
      <c r="B10" s="2916">
        <v>0.7</v>
      </c>
      <c r="C10" s="2910">
        <v>2.7649999999999801E-3</v>
      </c>
      <c r="D10" s="2751">
        <v>1.41689412</v>
      </c>
      <c r="E10" s="2750">
        <v>1.6379897999999999</v>
      </c>
      <c r="F10" s="1955">
        <v>1.0143708631999999</v>
      </c>
      <c r="G10" s="2754">
        <v>2.52137689</v>
      </c>
      <c r="H10" s="2753">
        <v>6.2933820699999998</v>
      </c>
      <c r="I10" s="407">
        <v>10.8869251199999</v>
      </c>
      <c r="J10" s="1479">
        <v>20.853939770000199</v>
      </c>
      <c r="K10" s="2755">
        <v>31.210223460000101</v>
      </c>
      <c r="L10" s="1399">
        <v>48.854120000000002</v>
      </c>
      <c r="M10" s="2916">
        <v>0.7</v>
      </c>
      <c r="N10" s="2597">
        <v>163.69731849320101</v>
      </c>
      <c r="O10" s="281"/>
    </row>
    <row r="11" spans="1:15" ht="14" customHeight="1" x14ac:dyDescent="0.15">
      <c r="A11" s="13"/>
      <c r="B11" s="2916">
        <v>0.8</v>
      </c>
      <c r="C11" s="2910">
        <v>2.7599999999999799E-3</v>
      </c>
      <c r="D11" s="2751">
        <v>1.40718728</v>
      </c>
      <c r="E11" s="2750">
        <v>1.6231412000000001</v>
      </c>
      <c r="F11" s="1955">
        <v>1.0140366592000001</v>
      </c>
      <c r="G11" s="2754">
        <v>2.4981431600000001</v>
      </c>
      <c r="H11" s="2915">
        <v>6.2678510799999998</v>
      </c>
      <c r="I11" s="407">
        <v>10.8553452799999</v>
      </c>
      <c r="J11" s="1479">
        <v>20.814961880000201</v>
      </c>
      <c r="K11" s="2755">
        <v>31.1831992400001</v>
      </c>
      <c r="L11" s="1399">
        <v>48.635280000000002</v>
      </c>
      <c r="M11" s="2916">
        <v>0.8</v>
      </c>
      <c r="N11" s="2597">
        <v>163.307237179201</v>
      </c>
      <c r="O11" s="281"/>
    </row>
    <row r="12" spans="1:15" ht="14" customHeight="1" x14ac:dyDescent="0.15">
      <c r="A12" s="13"/>
      <c r="B12" s="2916">
        <v>0.9</v>
      </c>
      <c r="C12" s="2910">
        <v>2.7549999999999801E-3</v>
      </c>
      <c r="D12" s="2751">
        <v>1.39748044</v>
      </c>
      <c r="E12" s="2750">
        <v>1.6082926</v>
      </c>
      <c r="F12" s="1955">
        <v>1.0137024552</v>
      </c>
      <c r="G12" s="2754">
        <v>2.4749094299999999</v>
      </c>
      <c r="H12" s="2753">
        <v>6.2423200899999998</v>
      </c>
      <c r="I12" s="407">
        <v>10.823765439999899</v>
      </c>
      <c r="J12" s="1479">
        <v>20.775983990000199</v>
      </c>
      <c r="K12" s="2755">
        <v>31.156175020000099</v>
      </c>
      <c r="L12" s="1399">
        <v>48.416440000000001</v>
      </c>
      <c r="M12" s="2916">
        <v>0.9</v>
      </c>
      <c r="N12" s="2597">
        <v>162.91715586520101</v>
      </c>
      <c r="O12" s="281"/>
    </row>
    <row r="13" spans="1:15" s="2930" customFormat="1" ht="16" customHeight="1" x14ac:dyDescent="0.15">
      <c r="A13" s="2920"/>
      <c r="B13" s="2914">
        <v>1</v>
      </c>
      <c r="C13" s="2921">
        <v>2.7499999999999799E-3</v>
      </c>
      <c r="D13" s="2922">
        <v>1.3877736000000001</v>
      </c>
      <c r="E13" s="1660">
        <v>1.5934440000000001</v>
      </c>
      <c r="F13" s="2923">
        <v>1.0133682512</v>
      </c>
      <c r="G13" s="2924">
        <v>2.4516757</v>
      </c>
      <c r="H13" s="2915">
        <v>6.2167890999999997</v>
      </c>
      <c r="I13" s="955">
        <v>10.7921855999999</v>
      </c>
      <c r="J13" s="2925">
        <v>20.737006100000201</v>
      </c>
      <c r="K13" s="2926">
        <v>31.129150800000101</v>
      </c>
      <c r="L13" s="2927">
        <v>48.197600000000001</v>
      </c>
      <c r="M13" s="2914">
        <v>1</v>
      </c>
      <c r="N13" s="2928">
        <v>162.527074551201</v>
      </c>
      <c r="O13" s="2929"/>
    </row>
    <row r="14" spans="1:15" ht="14" customHeight="1" x14ac:dyDescent="0.15">
      <c r="A14" s="13"/>
      <c r="B14" s="2916">
        <v>1.1000000000000001</v>
      </c>
      <c r="C14" s="2910">
        <v>2.7449999999999801E-3</v>
      </c>
      <c r="D14" s="2751">
        <v>1.3780667600000001</v>
      </c>
      <c r="E14" s="2750">
        <v>1.5785954</v>
      </c>
      <c r="F14" s="1955">
        <v>1.0130340471999999</v>
      </c>
      <c r="G14" s="2754">
        <v>2.4284419700000002</v>
      </c>
      <c r="H14" s="2753">
        <v>6.1912581099999997</v>
      </c>
      <c r="I14" s="407">
        <v>10.760605759999899</v>
      </c>
      <c r="J14" s="1479">
        <v>20.698028210000199</v>
      </c>
      <c r="K14" s="2755">
        <v>31.1021265800001</v>
      </c>
      <c r="L14" s="1399">
        <v>47.978760000000001</v>
      </c>
      <c r="M14" s="2916">
        <v>1.1000000000000001</v>
      </c>
      <c r="N14" s="2597">
        <v>162.13699323720101</v>
      </c>
      <c r="O14" s="281"/>
    </row>
    <row r="15" spans="1:15" ht="14" customHeight="1" x14ac:dyDescent="0.15">
      <c r="A15" s="13"/>
      <c r="B15" s="2916">
        <v>1.2</v>
      </c>
      <c r="C15" s="2910">
        <v>2.7399999999999799E-3</v>
      </c>
      <c r="D15" s="2751">
        <v>1.3683599200000001</v>
      </c>
      <c r="E15" s="2750">
        <v>1.5637468000000001</v>
      </c>
      <c r="F15" s="1955">
        <v>1.0126998432000001</v>
      </c>
      <c r="G15" s="2754">
        <v>2.4052082399999999</v>
      </c>
      <c r="H15" s="2915">
        <v>6.1657271199999997</v>
      </c>
      <c r="I15" s="407">
        <v>10.7290259199999</v>
      </c>
      <c r="J15" s="1479">
        <v>20.659050320000201</v>
      </c>
      <c r="K15" s="2755">
        <v>31.075102360000098</v>
      </c>
      <c r="L15" s="1399">
        <v>47.759920000000001</v>
      </c>
      <c r="M15" s="2916">
        <v>1.2</v>
      </c>
      <c r="N15" s="2597">
        <v>161.746911923201</v>
      </c>
      <c r="O15" s="281"/>
    </row>
    <row r="16" spans="1:15" ht="14" customHeight="1" x14ac:dyDescent="0.15">
      <c r="A16" s="13"/>
      <c r="B16" s="2916">
        <v>1.3</v>
      </c>
      <c r="C16" s="2910">
        <v>2.7349999999999801E-3</v>
      </c>
      <c r="D16" s="2751">
        <v>1.3586530800000001</v>
      </c>
      <c r="E16" s="2750">
        <v>1.5488982</v>
      </c>
      <c r="F16" s="1955">
        <v>1.0123656392</v>
      </c>
      <c r="G16" s="2754">
        <v>2.38197451</v>
      </c>
      <c r="H16" s="2753">
        <v>6.1401961299999996</v>
      </c>
      <c r="I16" s="407">
        <v>10.697446079999899</v>
      </c>
      <c r="J16" s="1479">
        <v>20.6200724300001</v>
      </c>
      <c r="K16" s="2755">
        <v>31.048078140000101</v>
      </c>
      <c r="L16" s="1399">
        <v>47.541080000000001</v>
      </c>
      <c r="M16" s="2916">
        <v>1.3</v>
      </c>
      <c r="N16" s="2597">
        <v>161.35683060920101</v>
      </c>
      <c r="O16" s="281"/>
    </row>
    <row r="17" spans="1:15" ht="14" customHeight="1" x14ac:dyDescent="0.15">
      <c r="A17" s="13"/>
      <c r="B17" s="2916">
        <v>1.4</v>
      </c>
      <c r="C17" s="2910">
        <v>2.7299999999999798E-3</v>
      </c>
      <c r="D17" s="2751">
        <v>1.3489462400000001</v>
      </c>
      <c r="E17" s="2750">
        <v>1.5340495999999999</v>
      </c>
      <c r="F17" s="1955">
        <v>1.0120314351999999</v>
      </c>
      <c r="G17" s="2754">
        <v>2.3587407800000002</v>
      </c>
      <c r="H17" s="2915">
        <v>6.1146651399999996</v>
      </c>
      <c r="I17" s="407">
        <v>10.6658662399999</v>
      </c>
      <c r="J17" s="1479">
        <v>20.581094540000102</v>
      </c>
      <c r="K17" s="2755">
        <v>31.021053920000099</v>
      </c>
      <c r="L17" s="1399">
        <v>47.322240000000001</v>
      </c>
      <c r="M17" s="2916">
        <v>1.4</v>
      </c>
      <c r="N17" s="2597">
        <v>160.966749295201</v>
      </c>
      <c r="O17" s="281"/>
    </row>
    <row r="18" spans="1:15" ht="14" customHeight="1" x14ac:dyDescent="0.15">
      <c r="A18" s="13"/>
      <c r="B18" s="2916">
        <v>1.5</v>
      </c>
      <c r="C18" s="2910">
        <v>2.72499999999998E-3</v>
      </c>
      <c r="D18" s="2751">
        <v>1.3392394000000001</v>
      </c>
      <c r="E18" s="2750">
        <v>1.519201</v>
      </c>
      <c r="F18" s="1955">
        <v>1.0116972312000001</v>
      </c>
      <c r="G18" s="2754">
        <v>2.3355070499999999</v>
      </c>
      <c r="H18" s="2753">
        <v>6.0891341499999996</v>
      </c>
      <c r="I18" s="407">
        <v>10.634286399999899</v>
      </c>
      <c r="J18" s="1479">
        <v>20.5421166500001</v>
      </c>
      <c r="K18" s="2755">
        <v>30.994029700000102</v>
      </c>
      <c r="L18" s="1399">
        <v>47.103400000000001</v>
      </c>
      <c r="M18" s="2916">
        <v>1.5</v>
      </c>
      <c r="N18" s="2597">
        <v>160.57666798120101</v>
      </c>
      <c r="O18" s="281"/>
    </row>
    <row r="19" spans="1:15" ht="14" customHeight="1" x14ac:dyDescent="0.15">
      <c r="A19" s="13"/>
      <c r="B19" s="2916">
        <v>1.6</v>
      </c>
      <c r="C19" s="2910">
        <v>2.7199999999999798E-3</v>
      </c>
      <c r="D19" s="2751">
        <v>1.3295325600000001</v>
      </c>
      <c r="E19" s="2750">
        <v>1.5043523999999999</v>
      </c>
      <c r="F19" s="1955">
        <v>1.0113630272</v>
      </c>
      <c r="G19" s="2754">
        <v>2.3122733200000001</v>
      </c>
      <c r="H19" s="2915">
        <v>6.0636031600000004</v>
      </c>
      <c r="I19" s="407">
        <v>10.6027065599999</v>
      </c>
      <c r="J19" s="1479">
        <v>20.503138760000098</v>
      </c>
      <c r="K19" s="2755">
        <v>30.9670054800001</v>
      </c>
      <c r="L19" s="1399">
        <v>46.88456</v>
      </c>
      <c r="M19" s="2916">
        <v>1.6</v>
      </c>
      <c r="N19" s="2597">
        <v>160.186586667201</v>
      </c>
      <c r="O19" s="281"/>
    </row>
    <row r="20" spans="1:15" ht="14" customHeight="1" x14ac:dyDescent="0.15">
      <c r="A20" s="13"/>
      <c r="B20" s="2916">
        <v>1.7</v>
      </c>
      <c r="C20" s="2910">
        <v>2.71499999999998E-3</v>
      </c>
      <c r="D20" s="2751">
        <v>1.3198257200000001</v>
      </c>
      <c r="E20" s="2750">
        <v>1.4895038</v>
      </c>
      <c r="F20" s="1955">
        <v>1.0110288232</v>
      </c>
      <c r="G20" s="2754">
        <v>2.2890395899999998</v>
      </c>
      <c r="H20" s="2753">
        <v>6.0380721700000004</v>
      </c>
      <c r="I20" s="407">
        <v>10.571126719999899</v>
      </c>
      <c r="J20" s="1479">
        <v>20.4641608700001</v>
      </c>
      <c r="K20" s="2755">
        <v>30.939981260000099</v>
      </c>
      <c r="L20" s="1399">
        <v>46.66572</v>
      </c>
      <c r="M20" s="2916">
        <v>1.7</v>
      </c>
      <c r="N20" s="2597">
        <v>159.79650535320101</v>
      </c>
      <c r="O20" s="281"/>
    </row>
    <row r="21" spans="1:15" ht="14" customHeight="1" x14ac:dyDescent="0.15">
      <c r="A21" s="13"/>
      <c r="B21" s="2916">
        <v>1.8</v>
      </c>
      <c r="C21" s="2910">
        <v>2.7099999999999798E-3</v>
      </c>
      <c r="D21" s="2751">
        <v>1.3101188800000001</v>
      </c>
      <c r="E21" s="2750">
        <v>1.4746551999999999</v>
      </c>
      <c r="F21" s="1955">
        <v>1.0106946191999999</v>
      </c>
      <c r="G21" s="2754">
        <v>2.2658058599999999</v>
      </c>
      <c r="H21" s="2915">
        <v>6.0125411800000004</v>
      </c>
      <c r="I21" s="407">
        <v>10.5395468799999</v>
      </c>
      <c r="J21" s="1479">
        <v>20.425182980000098</v>
      </c>
      <c r="K21" s="2755">
        <v>30.912957040000101</v>
      </c>
      <c r="L21" s="1399">
        <v>46.44688</v>
      </c>
      <c r="M21" s="2916">
        <v>1.8</v>
      </c>
      <c r="N21" s="2597">
        <v>159.406424039201</v>
      </c>
      <c r="O21" s="281"/>
    </row>
    <row r="22" spans="1:15" ht="14" customHeight="1" x14ac:dyDescent="0.15">
      <c r="A22" s="13"/>
      <c r="B22" s="2916">
        <v>1.9</v>
      </c>
      <c r="C22" s="2910">
        <v>2.70499999999998E-3</v>
      </c>
      <c r="D22" s="2751">
        <v>1.3004120400000001</v>
      </c>
      <c r="E22" s="2750">
        <v>1.4598066000000001</v>
      </c>
      <c r="F22" s="1955">
        <v>1.0103604152000001</v>
      </c>
      <c r="G22" s="2754">
        <v>2.2425721300000001</v>
      </c>
      <c r="H22" s="2753">
        <v>5.9870101900000003</v>
      </c>
      <c r="I22" s="407">
        <v>10.507967039999899</v>
      </c>
      <c r="J22" s="1479">
        <v>20.3862050900001</v>
      </c>
      <c r="K22" s="2755">
        <v>30.8859328200001</v>
      </c>
      <c r="L22" s="1399">
        <v>46.22804</v>
      </c>
      <c r="M22" s="2916">
        <v>1.9</v>
      </c>
      <c r="N22" s="2597">
        <v>159.01634272520101</v>
      </c>
      <c r="O22" s="281"/>
    </row>
    <row r="23" spans="1:15" s="2930" customFormat="1" ht="16" customHeight="1" x14ac:dyDescent="0.15">
      <c r="A23" s="2920"/>
      <c r="B23" s="2914">
        <v>2</v>
      </c>
      <c r="C23" s="2921">
        <v>2.6999999999999802E-3</v>
      </c>
      <c r="D23" s="2922">
        <v>1.2907052000000001</v>
      </c>
      <c r="E23" s="1660">
        <v>1.444958</v>
      </c>
      <c r="F23" s="2923">
        <v>1.0100262112</v>
      </c>
      <c r="G23" s="2924">
        <v>2.2193383999999998</v>
      </c>
      <c r="H23" s="2915">
        <v>5.9614792000000003</v>
      </c>
      <c r="I23" s="955">
        <v>10.4763871999999</v>
      </c>
      <c r="J23" s="2925">
        <v>20.347227200000098</v>
      </c>
      <c r="K23" s="2926">
        <v>30.858908600000099</v>
      </c>
      <c r="L23" s="2927">
        <v>46.0092</v>
      </c>
      <c r="M23" s="2914">
        <v>2</v>
      </c>
      <c r="N23" s="2928">
        <v>158.626261411201</v>
      </c>
      <c r="O23" s="2929"/>
    </row>
    <row r="24" spans="1:15" ht="14" customHeight="1" x14ac:dyDescent="0.15">
      <c r="A24" s="13"/>
      <c r="B24" s="2916">
        <v>2.1</v>
      </c>
      <c r="C24" s="2910">
        <v>2.69499999999998E-3</v>
      </c>
      <c r="D24" s="2751">
        <v>1.2809983599999999</v>
      </c>
      <c r="E24" s="2750">
        <v>1.4301094000000001</v>
      </c>
      <c r="F24" s="1955">
        <v>1.0096920072</v>
      </c>
      <c r="G24" s="2754">
        <v>2.19610467</v>
      </c>
      <c r="H24" s="2753">
        <v>5.9359482100000003</v>
      </c>
      <c r="I24" s="407">
        <v>10.444807359999899</v>
      </c>
      <c r="J24" s="1479">
        <v>20.3082493100001</v>
      </c>
      <c r="K24" s="2755">
        <v>30.831884380000101</v>
      </c>
      <c r="L24" s="1399">
        <v>45.79036</v>
      </c>
      <c r="M24" s="2916">
        <v>2.1</v>
      </c>
      <c r="N24" s="2597">
        <v>158.23618009720099</v>
      </c>
      <c r="O24" s="281"/>
    </row>
    <row r="25" spans="1:15" ht="14" customHeight="1" x14ac:dyDescent="0.15">
      <c r="A25" s="13"/>
      <c r="B25" s="2916">
        <v>2.2000000000000002</v>
      </c>
      <c r="C25" s="2910">
        <v>2.6899999999999802E-3</v>
      </c>
      <c r="D25" s="2751">
        <v>1.2712915199999999</v>
      </c>
      <c r="E25" s="2750">
        <v>1.4152608</v>
      </c>
      <c r="F25" s="1955">
        <v>1.0093578031999999</v>
      </c>
      <c r="G25" s="2754">
        <v>2.1728709400000001</v>
      </c>
      <c r="H25" s="2915">
        <v>5.9104172200000002</v>
      </c>
      <c r="I25" s="407">
        <v>10.4132275199999</v>
      </c>
      <c r="J25" s="1479">
        <v>20.269271420000099</v>
      </c>
      <c r="K25" s="2755">
        <v>30.8048601600001</v>
      </c>
      <c r="L25" s="1399">
        <v>45.57152</v>
      </c>
      <c r="M25" s="2916">
        <v>2.2000000000000002</v>
      </c>
      <c r="N25" s="2597">
        <v>157.846098783201</v>
      </c>
      <c r="O25" s="281"/>
    </row>
    <row r="26" spans="1:15" ht="14" customHeight="1" x14ac:dyDescent="0.15">
      <c r="A26" s="13"/>
      <c r="B26" s="2916">
        <v>2.2999999999999998</v>
      </c>
      <c r="C26" s="2910">
        <v>2.6849999999999799E-3</v>
      </c>
      <c r="D26" s="2751">
        <v>1.2615846799999999</v>
      </c>
      <c r="E26" s="2750">
        <v>1.4004122000000001</v>
      </c>
      <c r="F26" s="1955">
        <v>1.0090235992000001</v>
      </c>
      <c r="G26" s="2754">
        <v>2.1496372099999999</v>
      </c>
      <c r="H26" s="2753">
        <v>5.8848862300000002</v>
      </c>
      <c r="I26" s="407">
        <v>10.381647679999899</v>
      </c>
      <c r="J26" s="1479">
        <v>20.2302935300001</v>
      </c>
      <c r="K26" s="2755">
        <v>30.777835940000099</v>
      </c>
      <c r="L26" s="1399">
        <v>45.352679999999999</v>
      </c>
      <c r="M26" s="2916">
        <v>2.2999999999999998</v>
      </c>
      <c r="N26" s="2597">
        <v>157.45601746920099</v>
      </c>
      <c r="O26" s="281"/>
    </row>
    <row r="27" spans="1:15" ht="14" customHeight="1" x14ac:dyDescent="0.15">
      <c r="A27" s="13"/>
      <c r="B27" s="2916">
        <v>2.4</v>
      </c>
      <c r="C27" s="2910">
        <v>2.6799999999999801E-3</v>
      </c>
      <c r="D27" s="2751">
        <v>1.2518778399999999</v>
      </c>
      <c r="E27" s="2750">
        <v>1.3855636</v>
      </c>
      <c r="F27" s="1955">
        <v>1.0086893952</v>
      </c>
      <c r="G27" s="2754">
        <v>2.12640348</v>
      </c>
      <c r="H27" s="2915">
        <v>5.8593552400000002</v>
      </c>
      <c r="I27" s="407">
        <v>10.3500678399999</v>
      </c>
      <c r="J27" s="1479">
        <v>20.191315640000099</v>
      </c>
      <c r="K27" s="2755">
        <v>30.750811720000101</v>
      </c>
      <c r="L27" s="1399">
        <v>45.133839999999999</v>
      </c>
      <c r="M27" s="2916">
        <v>2.4</v>
      </c>
      <c r="N27" s="2597">
        <v>157.065936155201</v>
      </c>
      <c r="O27" s="281"/>
    </row>
    <row r="28" spans="1:15" ht="14" customHeight="1" x14ac:dyDescent="0.15">
      <c r="A28" s="13"/>
      <c r="B28" s="2916">
        <v>2.5</v>
      </c>
      <c r="C28" s="2910">
        <v>2.6749999999999799E-3</v>
      </c>
      <c r="D28" s="2751">
        <v>1.2421709999999999</v>
      </c>
      <c r="E28" s="2750">
        <v>1.3707149999999999</v>
      </c>
      <c r="F28" s="1955">
        <v>1.0083551911999999</v>
      </c>
      <c r="G28" s="2754">
        <v>2.1031697500000002</v>
      </c>
      <c r="H28" s="2753">
        <v>5.8338242500000002</v>
      </c>
      <c r="I28" s="407">
        <v>10.318487999999901</v>
      </c>
      <c r="J28" s="1479">
        <v>20.1523377500001</v>
      </c>
      <c r="K28" s="2755">
        <v>30.7237875000001</v>
      </c>
      <c r="L28" s="1399">
        <v>44.914999999999999</v>
      </c>
      <c r="M28" s="2916">
        <v>2.5</v>
      </c>
      <c r="N28" s="2597">
        <v>156.67585484120099</v>
      </c>
      <c r="O28" s="281"/>
    </row>
    <row r="29" spans="1:15" ht="14" customHeight="1" x14ac:dyDescent="0.15">
      <c r="A29" s="13"/>
      <c r="B29" s="2916">
        <v>2.6</v>
      </c>
      <c r="C29" s="2910">
        <v>2.6699999999999801E-3</v>
      </c>
      <c r="D29" s="2751">
        <v>1.2324641599999999</v>
      </c>
      <c r="E29" s="2750">
        <v>1.3558664</v>
      </c>
      <c r="F29" s="1955">
        <v>1.0080209872000001</v>
      </c>
      <c r="G29" s="2754">
        <v>2.0799360199999999</v>
      </c>
      <c r="H29" s="2915">
        <v>5.8082932600000001</v>
      </c>
      <c r="I29" s="407">
        <v>10.2869081599999</v>
      </c>
      <c r="J29" s="1479">
        <v>20.113359860000099</v>
      </c>
      <c r="K29" s="2755">
        <v>30.696763280000098</v>
      </c>
      <c r="L29" s="1399">
        <v>44.696159999999999</v>
      </c>
      <c r="M29" s="2916">
        <v>2.6</v>
      </c>
      <c r="N29" s="2597">
        <v>156.285773527201</v>
      </c>
      <c r="O29" s="281"/>
    </row>
    <row r="30" spans="1:15" ht="14" customHeight="1" x14ac:dyDescent="0.15">
      <c r="A30" s="13"/>
      <c r="B30" s="2916">
        <v>2.7</v>
      </c>
      <c r="C30" s="2910">
        <v>2.6649999999999899E-3</v>
      </c>
      <c r="D30" s="2751">
        <v>1.2227573199999999</v>
      </c>
      <c r="E30" s="2750">
        <v>1.3410177999999999</v>
      </c>
      <c r="F30" s="1955">
        <v>1.0076867832</v>
      </c>
      <c r="G30" s="2754">
        <v>2.05670229</v>
      </c>
      <c r="H30" s="2753">
        <v>5.7827622700000001</v>
      </c>
      <c r="I30" s="407">
        <v>10.255328319999901</v>
      </c>
      <c r="J30" s="1479">
        <v>20.0743819700001</v>
      </c>
      <c r="K30" s="2755">
        <v>30.669739060000101</v>
      </c>
      <c r="L30" s="1399">
        <v>44.477319999999999</v>
      </c>
      <c r="M30" s="2916">
        <v>2.7</v>
      </c>
      <c r="N30" s="2597">
        <v>155.89569221320099</v>
      </c>
      <c r="O30" s="281"/>
    </row>
    <row r="31" spans="1:15" ht="14" customHeight="1" x14ac:dyDescent="0.15">
      <c r="A31" s="13"/>
      <c r="B31" s="2916">
        <v>2.8</v>
      </c>
      <c r="C31" s="2910">
        <v>2.6599999999999901E-3</v>
      </c>
      <c r="D31" s="2751">
        <v>1.2130504799999999</v>
      </c>
      <c r="E31" s="2750">
        <v>1.3261692</v>
      </c>
      <c r="F31" s="1955">
        <v>1.0073525792</v>
      </c>
      <c r="G31" s="2754">
        <v>2.0334685600000002</v>
      </c>
      <c r="H31" s="2915">
        <v>5.7572312800000001</v>
      </c>
      <c r="I31" s="407">
        <v>10.2237484799999</v>
      </c>
      <c r="J31" s="1479">
        <v>20.035404080000099</v>
      </c>
      <c r="K31" s="2755">
        <v>30.642714840000099</v>
      </c>
      <c r="L31" s="1399">
        <v>44.258479999999999</v>
      </c>
      <c r="M31" s="2916">
        <v>2.8</v>
      </c>
      <c r="N31" s="2597">
        <v>155.505610899201</v>
      </c>
      <c r="O31" s="281"/>
    </row>
    <row r="32" spans="1:15" ht="14" customHeight="1" x14ac:dyDescent="0.15">
      <c r="A32" s="13"/>
      <c r="B32" s="2916">
        <v>2.9</v>
      </c>
      <c r="C32" s="2910">
        <v>2.6549999999999898E-3</v>
      </c>
      <c r="D32" s="2751">
        <v>1.2033436399999999</v>
      </c>
      <c r="E32" s="2750">
        <v>1.3113205999999999</v>
      </c>
      <c r="F32" s="1955">
        <v>1.0070183751999999</v>
      </c>
      <c r="G32" s="2754">
        <v>2.0102348299999999</v>
      </c>
      <c r="H32" s="2753">
        <v>5.73170029</v>
      </c>
      <c r="I32" s="407">
        <v>10.192168639999901</v>
      </c>
      <c r="J32" s="1479">
        <v>19.996426190000101</v>
      </c>
      <c r="K32" s="2755">
        <v>30.615690620000102</v>
      </c>
      <c r="L32" s="1399">
        <v>44.039639999999999</v>
      </c>
      <c r="M32" s="2916">
        <v>2.9</v>
      </c>
      <c r="N32" s="2597">
        <v>155.11552958520099</v>
      </c>
      <c r="O32" s="281"/>
    </row>
    <row r="33" spans="1:15" s="2930" customFormat="1" ht="16" customHeight="1" x14ac:dyDescent="0.15">
      <c r="A33" s="2920"/>
      <c r="B33" s="2914">
        <v>3</v>
      </c>
      <c r="C33" s="2921">
        <v>2.64999999999999E-3</v>
      </c>
      <c r="D33" s="2922">
        <v>1.1936367999999999</v>
      </c>
      <c r="E33" s="1660">
        <v>1.2964720000000001</v>
      </c>
      <c r="F33" s="2923">
        <v>1.0066841712000001</v>
      </c>
      <c r="G33" s="2924">
        <v>1.9870011000000001</v>
      </c>
      <c r="H33" s="2915">
        <v>5.7061693</v>
      </c>
      <c r="I33" s="955">
        <v>10.1605887999999</v>
      </c>
      <c r="J33" s="2925">
        <v>19.957448300000099</v>
      </c>
      <c r="K33" s="2926">
        <v>30.588666400000101</v>
      </c>
      <c r="L33" s="2927">
        <v>43.820799999999998</v>
      </c>
      <c r="M33" s="2914">
        <v>3</v>
      </c>
      <c r="N33" s="2928">
        <v>154.725448271201</v>
      </c>
      <c r="O33" s="2929"/>
    </row>
    <row r="34" spans="1:15" ht="14" customHeight="1" x14ac:dyDescent="0.15">
      <c r="A34" s="13"/>
      <c r="B34" s="2916">
        <v>3.1</v>
      </c>
      <c r="C34" s="2910">
        <v>2.6449999999999898E-3</v>
      </c>
      <c r="D34" s="2751">
        <v>1.1839299599999999</v>
      </c>
      <c r="E34" s="2750">
        <v>1.2816234</v>
      </c>
      <c r="F34" s="1955">
        <v>1.0063499672</v>
      </c>
      <c r="G34" s="2754">
        <v>1.96376737</v>
      </c>
      <c r="H34" s="2753">
        <v>5.68063831</v>
      </c>
      <c r="I34" s="407">
        <v>10.129008959999901</v>
      </c>
      <c r="J34" s="1479">
        <v>19.918470410000101</v>
      </c>
      <c r="K34" s="2755">
        <v>30.561642180000099</v>
      </c>
      <c r="L34" s="1399">
        <v>43.601959999999998</v>
      </c>
      <c r="M34" s="2916">
        <v>3.1</v>
      </c>
      <c r="N34" s="2597">
        <v>154.33536695720099</v>
      </c>
      <c r="O34" s="281"/>
    </row>
    <row r="35" spans="1:15" ht="14" customHeight="1" x14ac:dyDescent="0.15">
      <c r="A35" s="13"/>
      <c r="B35" s="2916">
        <v>3.2</v>
      </c>
      <c r="C35" s="2910">
        <v>2.63999999999999E-3</v>
      </c>
      <c r="D35" s="2751">
        <v>1.17422312</v>
      </c>
      <c r="E35" s="2750">
        <v>1.2667748000000001</v>
      </c>
      <c r="F35" s="1955">
        <v>1.0060157632</v>
      </c>
      <c r="G35" s="2754">
        <v>1.9405336399999999</v>
      </c>
      <c r="H35" s="2915">
        <v>5.6551073199999999</v>
      </c>
      <c r="I35" s="407">
        <v>10.0974291199999</v>
      </c>
      <c r="J35" s="1479">
        <v>19.879492520000099</v>
      </c>
      <c r="K35" s="2755">
        <v>30.534617960000102</v>
      </c>
      <c r="L35" s="1399">
        <v>43.383119999999998</v>
      </c>
      <c r="M35" s="2916">
        <v>3.2</v>
      </c>
      <c r="N35" s="2597">
        <v>153.945285643201</v>
      </c>
      <c r="O35" s="281"/>
    </row>
    <row r="36" spans="1:15" ht="14" customHeight="1" x14ac:dyDescent="0.15">
      <c r="A36" s="13"/>
      <c r="B36" s="2916">
        <v>3.3</v>
      </c>
      <c r="C36" s="2910">
        <v>2.6349999999999902E-3</v>
      </c>
      <c r="D36" s="2751">
        <v>1.16451628</v>
      </c>
      <c r="E36" s="2750">
        <v>1.2519262</v>
      </c>
      <c r="F36" s="1955">
        <v>1.0056815591999999</v>
      </c>
      <c r="G36" s="2754">
        <v>1.9172999100000001</v>
      </c>
      <c r="H36" s="2753">
        <v>5.6295763299999999</v>
      </c>
      <c r="I36" s="407">
        <v>10.065849279999901</v>
      </c>
      <c r="J36" s="1479">
        <v>19.840514630000101</v>
      </c>
      <c r="K36" s="2755">
        <v>30.5075937400001</v>
      </c>
      <c r="L36" s="1399">
        <v>43.164279999999998</v>
      </c>
      <c r="M36" s="2916">
        <v>3.3</v>
      </c>
      <c r="N36" s="2597">
        <v>153.55520432920099</v>
      </c>
      <c r="O36" s="281"/>
    </row>
    <row r="37" spans="1:15" ht="14" customHeight="1" x14ac:dyDescent="0.15">
      <c r="A37" s="13"/>
      <c r="B37" s="2916">
        <v>3.4</v>
      </c>
      <c r="C37" s="2910">
        <v>2.62999999999999E-3</v>
      </c>
      <c r="D37" s="2751">
        <v>1.15480944</v>
      </c>
      <c r="E37" s="2750">
        <v>1.2370776000000001</v>
      </c>
      <c r="F37" s="1955">
        <v>1.0053473552000001</v>
      </c>
      <c r="G37" s="2754">
        <v>1.89406618</v>
      </c>
      <c r="H37" s="2915">
        <v>5.6040453399999999</v>
      </c>
      <c r="I37" s="407">
        <v>10.0342694399999</v>
      </c>
      <c r="J37" s="1479">
        <v>19.801536740000099</v>
      </c>
      <c r="K37" s="2755">
        <v>30.480569520000099</v>
      </c>
      <c r="L37" s="1399">
        <v>42.945439999999998</v>
      </c>
      <c r="M37" s="2916">
        <v>3.4</v>
      </c>
      <c r="N37" s="2597">
        <v>153.165123015201</v>
      </c>
      <c r="O37" s="281"/>
    </row>
    <row r="38" spans="1:15" ht="14" customHeight="1" x14ac:dyDescent="0.15">
      <c r="A38" s="13"/>
      <c r="B38" s="2916">
        <v>3.5</v>
      </c>
      <c r="C38" s="2910">
        <v>2.6249999999999902E-3</v>
      </c>
      <c r="D38" s="2751">
        <v>1.1451026</v>
      </c>
      <c r="E38" s="2750">
        <v>1.222229</v>
      </c>
      <c r="F38" s="1955">
        <v>1.0050131512</v>
      </c>
      <c r="G38" s="2754">
        <v>1.87083245</v>
      </c>
      <c r="H38" s="2753">
        <v>5.5785143499999998</v>
      </c>
      <c r="I38" s="407">
        <v>10.002689599999901</v>
      </c>
      <c r="J38" s="1479">
        <v>19.762558850000101</v>
      </c>
      <c r="K38" s="2755">
        <v>30.453545300000101</v>
      </c>
      <c r="L38" s="1399">
        <v>42.726599999999998</v>
      </c>
      <c r="M38" s="2916">
        <v>3.5</v>
      </c>
      <c r="N38" s="2597">
        <v>152.77504170120099</v>
      </c>
      <c r="O38" s="281"/>
    </row>
    <row r="39" spans="1:15" ht="14" customHeight="1" x14ac:dyDescent="0.15">
      <c r="A39" s="13"/>
      <c r="B39" s="2916">
        <v>3.6</v>
      </c>
      <c r="C39" s="2910">
        <v>2.61999999999999E-3</v>
      </c>
      <c r="D39" s="2751">
        <v>1.13539576</v>
      </c>
      <c r="E39" s="2750">
        <v>1.2073803999999999</v>
      </c>
      <c r="F39" s="1955">
        <v>1.0046789471999999</v>
      </c>
      <c r="G39" s="2754">
        <v>1.8475987199999999</v>
      </c>
      <c r="H39" s="2915">
        <v>5.5529833599999998</v>
      </c>
      <c r="I39" s="407">
        <v>9.9711097599999405</v>
      </c>
      <c r="J39" s="1479">
        <v>19.723580960000099</v>
      </c>
      <c r="K39" s="2755">
        <v>30.4265210800001</v>
      </c>
      <c r="L39" s="1399">
        <v>42.507759999999998</v>
      </c>
      <c r="M39" s="2916">
        <v>3.6</v>
      </c>
      <c r="N39" s="2597">
        <v>152.38496038720101</v>
      </c>
      <c r="O39" s="281"/>
    </row>
    <row r="40" spans="1:15" ht="14" customHeight="1" x14ac:dyDescent="0.15">
      <c r="A40" s="13"/>
      <c r="B40" s="2916">
        <v>3.7</v>
      </c>
      <c r="C40" s="2910">
        <v>2.6149999999999902E-3</v>
      </c>
      <c r="D40" s="2751">
        <v>1.12568892</v>
      </c>
      <c r="E40" s="2750">
        <v>1.1925318</v>
      </c>
      <c r="F40" s="1955">
        <v>1.0043447431999999</v>
      </c>
      <c r="G40" s="2754">
        <v>1.8243649900000001</v>
      </c>
      <c r="H40" s="2753">
        <v>5.5274523699999998</v>
      </c>
      <c r="I40" s="407">
        <v>9.9395299199999396</v>
      </c>
      <c r="J40" s="1479">
        <v>19.684603070000101</v>
      </c>
      <c r="K40" s="2755">
        <v>30.399496860000099</v>
      </c>
      <c r="L40" s="1399">
        <v>42.288919999999997</v>
      </c>
      <c r="M40" s="2916">
        <v>3.7</v>
      </c>
      <c r="N40" s="2597">
        <v>151.99487907320099</v>
      </c>
      <c r="O40" s="281"/>
    </row>
    <row r="41" spans="1:15" ht="14" customHeight="1" x14ac:dyDescent="0.15">
      <c r="A41" s="13"/>
      <c r="B41" s="2916">
        <v>3.8</v>
      </c>
      <c r="C41" s="2910">
        <v>2.6099999999999899E-3</v>
      </c>
      <c r="D41" s="2751">
        <v>1.11598208</v>
      </c>
      <c r="E41" s="2750">
        <v>1.1776831999999999</v>
      </c>
      <c r="F41" s="1955">
        <v>1.0040105392000001</v>
      </c>
      <c r="G41" s="2754">
        <v>1.80113126</v>
      </c>
      <c r="H41" s="2915">
        <v>5.5019213799999998</v>
      </c>
      <c r="I41" s="407">
        <v>9.9079500799999494</v>
      </c>
      <c r="J41" s="1479">
        <v>19.645625180000099</v>
      </c>
      <c r="K41" s="2755">
        <v>30.372472640000101</v>
      </c>
      <c r="L41" s="1399">
        <v>42.070079999999997</v>
      </c>
      <c r="M41" s="2916">
        <v>3.8</v>
      </c>
      <c r="N41" s="2597">
        <v>151.60479775920101</v>
      </c>
      <c r="O41" s="281"/>
    </row>
    <row r="42" spans="1:15" ht="14" customHeight="1" x14ac:dyDescent="0.15">
      <c r="A42" s="13"/>
      <c r="B42" s="2916">
        <v>3.9</v>
      </c>
      <c r="C42" s="2910">
        <v>2.6049999999999901E-3</v>
      </c>
      <c r="D42" s="2751">
        <v>1.10627524</v>
      </c>
      <c r="E42" s="2750">
        <v>1.1628346000000001</v>
      </c>
      <c r="F42" s="1955">
        <v>1.0036763352</v>
      </c>
      <c r="G42" s="2754">
        <v>1.7778975299999999</v>
      </c>
      <c r="H42" s="2753">
        <v>5.4763903899999997</v>
      </c>
      <c r="I42" s="407">
        <v>9.8763702399999396</v>
      </c>
      <c r="J42" s="1479">
        <v>19.606647290000101</v>
      </c>
      <c r="K42" s="2755">
        <v>30.3454484200001</v>
      </c>
      <c r="L42" s="1399">
        <v>41.851239999999997</v>
      </c>
      <c r="M42" s="2916">
        <v>3.9</v>
      </c>
      <c r="N42" s="2597">
        <v>151.21471644520099</v>
      </c>
      <c r="O42" s="281"/>
    </row>
    <row r="43" spans="1:15" s="2930" customFormat="1" ht="16" customHeight="1" x14ac:dyDescent="0.15">
      <c r="A43" s="2920"/>
      <c r="B43" s="2914">
        <v>4</v>
      </c>
      <c r="C43" s="2921">
        <v>2.5999999999999899E-3</v>
      </c>
      <c r="D43" s="2922">
        <v>1.0965684</v>
      </c>
      <c r="E43" s="1660">
        <v>1.147986</v>
      </c>
      <c r="F43" s="2923">
        <v>1.0033421311999999</v>
      </c>
      <c r="G43" s="2924">
        <v>1.7546638000000001</v>
      </c>
      <c r="H43" s="2915">
        <v>5.4508593999999997</v>
      </c>
      <c r="I43" s="955">
        <v>9.8447903999999404</v>
      </c>
      <c r="J43" s="2925">
        <v>19.567669400000099</v>
      </c>
      <c r="K43" s="2926">
        <v>30.318424200000099</v>
      </c>
      <c r="L43" s="2927">
        <v>41.632399999999997</v>
      </c>
      <c r="M43" s="2914">
        <v>4</v>
      </c>
      <c r="N43" s="2928">
        <v>150.82463513120101</v>
      </c>
      <c r="O43" s="2929"/>
    </row>
    <row r="44" spans="1:15" ht="14" customHeight="1" x14ac:dyDescent="0.15">
      <c r="A44" s="13"/>
      <c r="B44" s="2916">
        <v>4.0999999999999996</v>
      </c>
      <c r="C44" s="2910">
        <v>2.5949999999999901E-3</v>
      </c>
      <c r="D44" s="2751">
        <v>1.08686156</v>
      </c>
      <c r="E44" s="2750">
        <v>1.1331374000000001</v>
      </c>
      <c r="F44" s="1955">
        <v>1.0030079272000001</v>
      </c>
      <c r="G44" s="2754">
        <v>1.73143007</v>
      </c>
      <c r="H44" s="2753">
        <v>5.4253284099999997</v>
      </c>
      <c r="I44" s="407">
        <v>9.8132105599999608</v>
      </c>
      <c r="J44" s="1479">
        <v>19.528691510000101</v>
      </c>
      <c r="K44" s="2755">
        <v>30.291399980000101</v>
      </c>
      <c r="L44" s="1399">
        <v>41.413559999999997</v>
      </c>
      <c r="M44" s="2916">
        <v>4.0999999999999996</v>
      </c>
      <c r="N44" s="2597">
        <v>150.43455381720099</v>
      </c>
      <c r="O44" s="281"/>
    </row>
    <row r="45" spans="1:15" ht="14" customHeight="1" x14ac:dyDescent="0.15">
      <c r="A45" s="13"/>
      <c r="B45" s="2916">
        <v>4.2</v>
      </c>
      <c r="C45" s="2910">
        <v>2.5899999999999899E-3</v>
      </c>
      <c r="D45" s="2751">
        <v>1.07715472</v>
      </c>
      <c r="E45" s="2750">
        <v>1.1182888</v>
      </c>
      <c r="F45" s="1955">
        <v>1.0026737232</v>
      </c>
      <c r="G45" s="2754">
        <v>1.70819634</v>
      </c>
      <c r="H45" s="2915">
        <v>5.3997974199999996</v>
      </c>
      <c r="I45" s="407">
        <v>9.7816307199999493</v>
      </c>
      <c r="J45" s="1479">
        <v>19.489713620000099</v>
      </c>
      <c r="K45" s="2755">
        <v>30.2643757600001</v>
      </c>
      <c r="L45" s="1399">
        <v>41.194719999999997</v>
      </c>
      <c r="M45" s="2916">
        <v>4.2</v>
      </c>
      <c r="N45" s="2597">
        <v>150.04447250320101</v>
      </c>
      <c r="O45" s="281"/>
    </row>
    <row r="46" spans="1:15" ht="14" customHeight="1" x14ac:dyDescent="0.15">
      <c r="A46" s="13"/>
      <c r="B46" s="2916">
        <v>4.3</v>
      </c>
      <c r="C46" s="2910">
        <v>2.5849999999999901E-3</v>
      </c>
      <c r="D46" s="2751">
        <v>1.06744788</v>
      </c>
      <c r="E46" s="2750">
        <v>1.1034402000000001</v>
      </c>
      <c r="F46" s="1955">
        <v>1.0023395192</v>
      </c>
      <c r="G46" s="2754">
        <v>1.6849626099999999</v>
      </c>
      <c r="H46" s="2753">
        <v>5.3742664299999996</v>
      </c>
      <c r="I46" s="407">
        <v>9.7500508799999608</v>
      </c>
      <c r="J46" s="1479">
        <v>19.450735730000101</v>
      </c>
      <c r="K46" s="2755">
        <v>30.237351540000098</v>
      </c>
      <c r="L46" s="1399">
        <v>40.975879999999997</v>
      </c>
      <c r="M46" s="2916">
        <v>4.3</v>
      </c>
      <c r="N46" s="2597">
        <v>149.65439118920099</v>
      </c>
      <c r="O46" s="281"/>
    </row>
    <row r="47" spans="1:15" ht="14" customHeight="1" x14ac:dyDescent="0.15">
      <c r="A47" s="13"/>
      <c r="B47" s="2916">
        <v>4.4000000000000004</v>
      </c>
      <c r="C47" s="2910">
        <v>2.5799999999999899E-3</v>
      </c>
      <c r="D47" s="2751">
        <v>1.05774104</v>
      </c>
      <c r="E47" s="2750">
        <v>1.0885916</v>
      </c>
      <c r="F47" s="1955">
        <v>1.0020053151999999</v>
      </c>
      <c r="G47" s="2754">
        <v>1.6617288800000101</v>
      </c>
      <c r="H47" s="2915">
        <v>5.3487354399999996</v>
      </c>
      <c r="I47" s="407">
        <v>9.7184710399999492</v>
      </c>
      <c r="J47" s="1479">
        <v>19.411757840000099</v>
      </c>
      <c r="K47" s="2755">
        <v>30.210327320000101</v>
      </c>
      <c r="L47" s="1399">
        <v>40.757040000000003</v>
      </c>
      <c r="M47" s="2916">
        <v>4.4000000000000004</v>
      </c>
      <c r="N47" s="2597">
        <v>149.26430987520101</v>
      </c>
      <c r="O47" s="281"/>
    </row>
    <row r="48" spans="1:15" ht="14" customHeight="1" x14ac:dyDescent="0.15">
      <c r="A48" s="13"/>
      <c r="B48" s="2916">
        <v>4.5</v>
      </c>
      <c r="C48" s="2910">
        <v>2.5749999999999901E-3</v>
      </c>
      <c r="D48" s="2751">
        <v>1.0480342</v>
      </c>
      <c r="E48" s="2750">
        <v>1.0737429999999999</v>
      </c>
      <c r="F48" s="1955">
        <v>1.0016711112000001</v>
      </c>
      <c r="G48" s="2754">
        <v>1.63849515000001</v>
      </c>
      <c r="H48" s="2753">
        <v>5.3232044500000004</v>
      </c>
      <c r="I48" s="407">
        <v>9.6868911999999607</v>
      </c>
      <c r="J48" s="1479">
        <v>19.372779950000101</v>
      </c>
      <c r="K48" s="2755">
        <v>30.183303100000099</v>
      </c>
      <c r="L48" s="1399">
        <v>40.538200000000003</v>
      </c>
      <c r="M48" s="2916">
        <v>4.5</v>
      </c>
      <c r="N48" s="2597">
        <v>148.87422856120099</v>
      </c>
      <c r="O48" s="281"/>
    </row>
    <row r="49" spans="1:15" ht="14" customHeight="1" x14ac:dyDescent="0.15">
      <c r="A49" s="13"/>
      <c r="B49" s="2916">
        <v>4.5999999999999996</v>
      </c>
      <c r="C49" s="2910">
        <v>2.5699999999999898E-3</v>
      </c>
      <c r="D49" s="2751">
        <v>1.03832736</v>
      </c>
      <c r="E49" s="2750">
        <v>1.0588944</v>
      </c>
      <c r="F49" s="1955">
        <v>1.0013369072</v>
      </c>
      <c r="G49" s="2754">
        <v>1.6152614200000099</v>
      </c>
      <c r="H49" s="2915">
        <v>5.2976734600000004</v>
      </c>
      <c r="I49" s="407">
        <v>9.6553113599999492</v>
      </c>
      <c r="J49" s="1479">
        <v>19.333802060000099</v>
      </c>
      <c r="K49" s="2755">
        <v>30.156278880000102</v>
      </c>
      <c r="L49" s="1399">
        <v>40.319360000000003</v>
      </c>
      <c r="M49" s="2916">
        <v>4.5999999999999996</v>
      </c>
      <c r="N49" s="2597">
        <v>148.48414724720101</v>
      </c>
      <c r="O49" s="281"/>
    </row>
    <row r="50" spans="1:15" ht="14" customHeight="1" x14ac:dyDescent="0.15">
      <c r="A50" s="13"/>
      <c r="B50" s="2916">
        <v>4.7</v>
      </c>
      <c r="C50" s="2910">
        <v>2.56499999999999E-3</v>
      </c>
      <c r="D50" s="2751">
        <v>1.02862052</v>
      </c>
      <c r="E50" s="2750">
        <v>1.0440457999999999</v>
      </c>
      <c r="F50" s="1955">
        <v>1.0010027032</v>
      </c>
      <c r="G50" s="2754">
        <v>1.5920276900000101</v>
      </c>
      <c r="H50" s="2753">
        <v>5.2721424700000004</v>
      </c>
      <c r="I50" s="407">
        <v>9.6237315199999607</v>
      </c>
      <c r="J50" s="1479">
        <v>19.294824170000101</v>
      </c>
      <c r="K50" s="2755">
        <v>30.1292546600001</v>
      </c>
      <c r="L50" s="1399">
        <v>40.100520000000003</v>
      </c>
      <c r="M50" s="2916">
        <v>4.7</v>
      </c>
      <c r="N50" s="2597">
        <v>148.09406593320099</v>
      </c>
      <c r="O50" s="281"/>
    </row>
    <row r="51" spans="1:15" ht="14" customHeight="1" x14ac:dyDescent="0.15">
      <c r="A51" s="13"/>
      <c r="B51" s="2916">
        <v>4.8</v>
      </c>
      <c r="C51" s="2910">
        <v>2.5599999999999898E-3</v>
      </c>
      <c r="D51" s="2751">
        <v>1.01891368</v>
      </c>
      <c r="E51" s="2750">
        <v>1.0291972</v>
      </c>
      <c r="F51" s="1955">
        <v>1.0006684991999999</v>
      </c>
      <c r="G51" s="2754">
        <v>1.56879396000001</v>
      </c>
      <c r="H51" s="2915">
        <v>5.2466114800000003</v>
      </c>
      <c r="I51" s="407">
        <v>9.5921516799999509</v>
      </c>
      <c r="J51" s="1479">
        <v>19.2558462800001</v>
      </c>
      <c r="K51" s="2755">
        <v>30.102230440000099</v>
      </c>
      <c r="L51" s="1399">
        <v>39.881680000000003</v>
      </c>
      <c r="M51" s="2916">
        <v>4.8</v>
      </c>
      <c r="N51" s="2597">
        <v>147.70398461920101</v>
      </c>
      <c r="O51" s="281"/>
    </row>
    <row r="52" spans="1:15" ht="14" customHeight="1" x14ac:dyDescent="0.15">
      <c r="A52" s="13"/>
      <c r="B52" s="2916">
        <v>4.9000000000000004</v>
      </c>
      <c r="C52" s="2910">
        <v>2.55499999999999E-3</v>
      </c>
      <c r="D52" s="2751">
        <v>1.00920684</v>
      </c>
      <c r="E52" s="2750">
        <v>1.0143485999999999</v>
      </c>
      <c r="F52" s="1955">
        <v>1.0003342952000001</v>
      </c>
      <c r="G52" s="2754">
        <v>1.54556023000001</v>
      </c>
      <c r="H52" s="2753">
        <v>5.2210804900000003</v>
      </c>
      <c r="I52" s="407">
        <v>9.5605718399999606</v>
      </c>
      <c r="J52" s="1479">
        <v>19.216868390000101</v>
      </c>
      <c r="K52" s="2755">
        <v>30.075206220000101</v>
      </c>
      <c r="L52" s="1399">
        <v>39.662840000000003</v>
      </c>
      <c r="M52" s="2916">
        <v>4.9000000000000004</v>
      </c>
      <c r="N52" s="2597">
        <v>147.31390330520099</v>
      </c>
      <c r="O52" s="281"/>
    </row>
    <row r="53" spans="1:15" s="2930" customFormat="1" ht="16" customHeight="1" x14ac:dyDescent="0.15">
      <c r="A53" s="2920"/>
      <c r="B53" s="2914">
        <v>5</v>
      </c>
      <c r="C53" s="2921">
        <v>2.5499999999999902E-3</v>
      </c>
      <c r="D53" s="2922">
        <v>0.99950000000000006</v>
      </c>
      <c r="E53" s="1660">
        <v>0.99949999999999894</v>
      </c>
      <c r="F53" s="2923">
        <v>1.0000000912</v>
      </c>
      <c r="G53" s="2924">
        <v>1.5223265000000099</v>
      </c>
      <c r="H53" s="2915">
        <v>5.1955495000000003</v>
      </c>
      <c r="I53" s="955">
        <v>9.5289919999999508</v>
      </c>
      <c r="J53" s="2925">
        <v>19.1778905000001</v>
      </c>
      <c r="K53" s="2926">
        <v>30.0481820000001</v>
      </c>
      <c r="L53" s="2927">
        <v>39.444000000000003</v>
      </c>
      <c r="M53" s="2914">
        <v>5</v>
      </c>
      <c r="N53" s="2928">
        <v>146.92382199120101</v>
      </c>
      <c r="O53" s="2929"/>
    </row>
    <row r="54" spans="1:15" ht="14" customHeight="1" x14ac:dyDescent="0.15">
      <c r="A54" s="13"/>
      <c r="B54" s="2916">
        <v>5.0999999999999996</v>
      </c>
      <c r="C54" s="2910">
        <v>2.54499999999999E-3</v>
      </c>
      <c r="D54" s="2751">
        <v>0.98979315999999995</v>
      </c>
      <c r="E54" s="2750">
        <v>0.98465139999999896</v>
      </c>
      <c r="F54" s="1955">
        <v>0.99966588719999705</v>
      </c>
      <c r="G54" s="2754">
        <v>1.4990927700000101</v>
      </c>
      <c r="H54" s="2753">
        <v>5.1700185100000002</v>
      </c>
      <c r="I54" s="407">
        <v>9.4974121599999606</v>
      </c>
      <c r="J54" s="1479">
        <v>19.138912610000101</v>
      </c>
      <c r="K54" s="2755">
        <v>30.021157780000099</v>
      </c>
      <c r="L54" s="1399">
        <v>39.225160000000002</v>
      </c>
      <c r="M54" s="2916">
        <v>5.0999999999999996</v>
      </c>
      <c r="N54" s="2597">
        <v>146.533740677201</v>
      </c>
      <c r="O54" s="281"/>
    </row>
    <row r="55" spans="1:15" ht="14" customHeight="1" x14ac:dyDescent="0.15">
      <c r="A55" s="13"/>
      <c r="B55" s="2916">
        <v>5.2</v>
      </c>
      <c r="C55" s="2910">
        <v>2.5399999999999902E-3</v>
      </c>
      <c r="D55" s="2751">
        <v>0.98008631999999996</v>
      </c>
      <c r="E55" s="2750">
        <v>0.96980279999999897</v>
      </c>
      <c r="F55" s="1955">
        <v>0.99933168319999699</v>
      </c>
      <c r="G55" s="2754">
        <v>1.47585904000001</v>
      </c>
      <c r="H55" s="2915">
        <v>5.1444875200000002</v>
      </c>
      <c r="I55" s="407">
        <v>9.4658323199999508</v>
      </c>
      <c r="J55" s="1479">
        <v>19.0999347200001</v>
      </c>
      <c r="K55" s="2755">
        <v>29.994133560000101</v>
      </c>
      <c r="L55" s="1399">
        <v>39.006320000000002</v>
      </c>
      <c r="M55" s="2916">
        <v>5.2</v>
      </c>
      <c r="N55" s="2597">
        <v>146.14365936320101</v>
      </c>
      <c r="O55" s="281"/>
    </row>
    <row r="56" spans="1:15" ht="14" customHeight="1" x14ac:dyDescent="0.15">
      <c r="A56" s="13"/>
      <c r="B56" s="2916">
        <v>5.3</v>
      </c>
      <c r="C56" s="2910">
        <v>2.53499999999999E-3</v>
      </c>
      <c r="D56" s="2751">
        <v>0.97037947999999996</v>
      </c>
      <c r="E56" s="2750">
        <v>0.95495419999999898</v>
      </c>
      <c r="F56" s="1955">
        <v>0.99899747919999704</v>
      </c>
      <c r="G56" s="2754">
        <v>1.4526253100000099</v>
      </c>
      <c r="H56" s="2753">
        <v>5.1189565300000002</v>
      </c>
      <c r="I56" s="407">
        <v>9.4342524799999605</v>
      </c>
      <c r="J56" s="1479">
        <v>19.060956830000102</v>
      </c>
      <c r="K56" s="2755">
        <v>29.9671093400001</v>
      </c>
      <c r="L56" s="1399">
        <v>38.787480000000002</v>
      </c>
      <c r="M56" s="2916">
        <v>5.3</v>
      </c>
      <c r="N56" s="2597">
        <v>145.753578049201</v>
      </c>
      <c r="O56" s="281"/>
    </row>
    <row r="57" spans="1:15" ht="14" customHeight="1" x14ac:dyDescent="0.15">
      <c r="A57" s="13"/>
      <c r="B57" s="2916">
        <v>5.4</v>
      </c>
      <c r="C57" s="2910">
        <v>2.5299999999999902E-3</v>
      </c>
      <c r="D57" s="2751">
        <v>0.96067263999999997</v>
      </c>
      <c r="E57" s="2750">
        <v>0.94010559999999899</v>
      </c>
      <c r="F57" s="1955">
        <v>0.99866327519999698</v>
      </c>
      <c r="G57" s="2754">
        <v>1.4293915800000101</v>
      </c>
      <c r="H57" s="2915">
        <v>5.0934255400000001</v>
      </c>
      <c r="I57" s="407">
        <v>9.4026726399999596</v>
      </c>
      <c r="J57" s="1479">
        <v>19.0219789400001</v>
      </c>
      <c r="K57" s="2755">
        <v>29.940085120000099</v>
      </c>
      <c r="L57" s="1399">
        <v>38.568640000000002</v>
      </c>
      <c r="M57" s="2916">
        <v>5.4</v>
      </c>
      <c r="N57" s="2597">
        <v>145.36349673520101</v>
      </c>
      <c r="O57" s="281"/>
    </row>
    <row r="58" spans="1:15" ht="14" customHeight="1" x14ac:dyDescent="0.15">
      <c r="A58" s="13"/>
      <c r="B58" s="2916">
        <v>5.5</v>
      </c>
      <c r="C58" s="2910">
        <v>2.5249999999999899E-3</v>
      </c>
      <c r="D58" s="2751">
        <v>0.95096579999999997</v>
      </c>
      <c r="E58" s="2750">
        <v>0.925256999999998</v>
      </c>
      <c r="F58" s="1955">
        <v>0.99832907119999703</v>
      </c>
      <c r="G58" s="2754">
        <v>1.40615785000001</v>
      </c>
      <c r="H58" s="2753">
        <v>5.0678945500000001</v>
      </c>
      <c r="I58" s="407">
        <v>9.3710927999999605</v>
      </c>
      <c r="J58" s="1479">
        <v>18.983001050000102</v>
      </c>
      <c r="K58" s="2755">
        <v>29.913060900000101</v>
      </c>
      <c r="L58" s="1399">
        <v>38.349800000000002</v>
      </c>
      <c r="M58" s="2916">
        <v>5.5</v>
      </c>
      <c r="N58" s="2597">
        <v>144.973415421201</v>
      </c>
      <c r="O58" s="281"/>
    </row>
    <row r="59" spans="1:15" ht="14" customHeight="1" x14ac:dyDescent="0.15">
      <c r="A59" s="13"/>
      <c r="B59" s="2916">
        <v>5.6</v>
      </c>
      <c r="C59" s="2910">
        <v>2.5199999999999901E-3</v>
      </c>
      <c r="D59" s="2751">
        <v>0.94125895999999998</v>
      </c>
      <c r="E59" s="2750">
        <v>0.91040839999999801</v>
      </c>
      <c r="F59" s="1955">
        <v>0.99799486719999697</v>
      </c>
      <c r="G59" s="2754">
        <v>1.38292412000001</v>
      </c>
      <c r="H59" s="2915">
        <v>5.0423635600000001</v>
      </c>
      <c r="I59" s="407">
        <v>9.3395129599999596</v>
      </c>
      <c r="J59" s="1479">
        <v>18.9440231600001</v>
      </c>
      <c r="K59" s="2755">
        <v>29.8860366800001</v>
      </c>
      <c r="L59" s="1399">
        <v>38.130960000000002</v>
      </c>
      <c r="M59" s="2916">
        <v>5.6</v>
      </c>
      <c r="N59" s="2597">
        <v>144.58333410720101</v>
      </c>
      <c r="O59" s="281"/>
    </row>
    <row r="60" spans="1:15" ht="14" customHeight="1" x14ac:dyDescent="0.15">
      <c r="A60" s="13"/>
      <c r="B60" s="2916">
        <v>5.7</v>
      </c>
      <c r="C60" s="2910">
        <v>2.5149999999999899E-3</v>
      </c>
      <c r="D60" s="2751">
        <v>0.93155211999999998</v>
      </c>
      <c r="E60" s="2750">
        <v>0.89555979999999802</v>
      </c>
      <c r="F60" s="1955">
        <v>0.99766066319999702</v>
      </c>
      <c r="G60" s="2754">
        <v>1.3596903900000099</v>
      </c>
      <c r="H60" s="2753">
        <v>5.01683257</v>
      </c>
      <c r="I60" s="407">
        <v>9.3079331199999693</v>
      </c>
      <c r="J60" s="1479">
        <v>18.905045270000102</v>
      </c>
      <c r="K60" s="2755">
        <v>29.859012460000098</v>
      </c>
      <c r="L60" s="1399">
        <v>37.912120000000002</v>
      </c>
      <c r="M60" s="2916">
        <v>5.7</v>
      </c>
      <c r="N60" s="2597">
        <v>144.193252793201</v>
      </c>
      <c r="O60" s="281"/>
    </row>
    <row r="61" spans="1:15" ht="14" customHeight="1" x14ac:dyDescent="0.15">
      <c r="A61" s="13"/>
      <c r="B61" s="2916">
        <v>5.8</v>
      </c>
      <c r="C61" s="2910">
        <v>2.5099999999999901E-3</v>
      </c>
      <c r="D61" s="2751">
        <v>0.92184527999999999</v>
      </c>
      <c r="E61" s="2750">
        <v>0.88071119999999803</v>
      </c>
      <c r="F61" s="1955">
        <v>0.99732645919999696</v>
      </c>
      <c r="G61" s="2754">
        <v>1.3364566600000101</v>
      </c>
      <c r="H61" s="2915">
        <v>4.99130158</v>
      </c>
      <c r="I61" s="407">
        <v>9.2763532799999595</v>
      </c>
      <c r="J61" s="1479">
        <v>18.8660673800001</v>
      </c>
      <c r="K61" s="2755">
        <v>29.831988240000101</v>
      </c>
      <c r="L61" s="1399">
        <v>37.693280000000001</v>
      </c>
      <c r="M61" s="2916">
        <v>5.8</v>
      </c>
      <c r="N61" s="2597">
        <v>143.80317147920101</v>
      </c>
      <c r="O61" s="281"/>
    </row>
    <row r="62" spans="1:15" ht="14" customHeight="1" x14ac:dyDescent="0.15">
      <c r="A62" s="13"/>
      <c r="B62" s="2916">
        <v>5.9</v>
      </c>
      <c r="C62" s="2910">
        <v>2.5049999999999899E-3</v>
      </c>
      <c r="D62" s="2751">
        <v>0.91213843999999999</v>
      </c>
      <c r="E62" s="2750">
        <v>0.86586259999999804</v>
      </c>
      <c r="F62" s="1955">
        <v>0.99699225519999701</v>
      </c>
      <c r="G62" s="2754">
        <v>1.31322293000001</v>
      </c>
      <c r="H62" s="2753">
        <v>4.96577059</v>
      </c>
      <c r="I62" s="407">
        <v>9.2447734399999604</v>
      </c>
      <c r="J62" s="1479">
        <v>18.827089490000098</v>
      </c>
      <c r="K62" s="2755">
        <v>29.804964020000099</v>
      </c>
      <c r="L62" s="1399">
        <v>37.474440000000001</v>
      </c>
      <c r="M62" s="2916">
        <v>5.9</v>
      </c>
      <c r="N62" s="2597">
        <v>143.413090165201</v>
      </c>
      <c r="O62" s="281"/>
    </row>
    <row r="63" spans="1:15" s="2930" customFormat="1" ht="16" customHeight="1" x14ac:dyDescent="0.15">
      <c r="A63" s="2920"/>
      <c r="B63" s="2914">
        <v>6</v>
      </c>
      <c r="C63" s="2921">
        <v>2.4999999999999901E-3</v>
      </c>
      <c r="D63" s="2922">
        <v>0.9024316</v>
      </c>
      <c r="E63" s="1660">
        <v>0.85101399999999805</v>
      </c>
      <c r="F63" s="2923">
        <v>0.99665805119999695</v>
      </c>
      <c r="G63" s="2924">
        <v>1.2899892000000099</v>
      </c>
      <c r="H63" s="2915">
        <v>4.9402396</v>
      </c>
      <c r="I63" s="955">
        <v>9.2131935999999595</v>
      </c>
      <c r="J63" s="2925">
        <v>18.7881116000001</v>
      </c>
      <c r="K63" s="2926">
        <v>29.777939799999999</v>
      </c>
      <c r="L63" s="2927">
        <v>37.255600000000001</v>
      </c>
      <c r="M63" s="2914">
        <v>6</v>
      </c>
      <c r="N63" s="2928">
        <v>143.02300885120101</v>
      </c>
      <c r="O63" s="2929"/>
    </row>
    <row r="64" spans="1:15" ht="14" customHeight="1" x14ac:dyDescent="0.15">
      <c r="A64" s="13"/>
      <c r="B64" s="2916">
        <v>6.1</v>
      </c>
      <c r="C64" s="2910">
        <v>2.4949999999999898E-3</v>
      </c>
      <c r="D64" s="2751">
        <v>0.89272476000000001</v>
      </c>
      <c r="E64" s="2750">
        <v>0.83616539999999795</v>
      </c>
      <c r="F64" s="1955">
        <v>0.996323847199997</v>
      </c>
      <c r="G64" s="2754">
        <v>1.2667554700000101</v>
      </c>
      <c r="H64" s="2753">
        <v>4.9147086099999999</v>
      </c>
      <c r="I64" s="407">
        <v>9.1816137599999692</v>
      </c>
      <c r="J64" s="1479">
        <v>18.749133710000098</v>
      </c>
      <c r="K64" s="2755">
        <v>29.750915580000001</v>
      </c>
      <c r="L64" s="1399">
        <v>37.036760000000001</v>
      </c>
      <c r="M64" s="2916">
        <v>6.1</v>
      </c>
      <c r="N64" s="2597">
        <v>142.632927537201</v>
      </c>
      <c r="O64" s="281"/>
    </row>
    <row r="65" spans="1:15" ht="14" customHeight="1" x14ac:dyDescent="0.15">
      <c r="A65" s="13"/>
      <c r="B65" s="2916">
        <v>6.2</v>
      </c>
      <c r="C65" s="2910">
        <v>2.4899999999999901E-3</v>
      </c>
      <c r="D65" s="2751">
        <v>0.88301792000000001</v>
      </c>
      <c r="E65" s="2750">
        <v>0.82131679999999796</v>
      </c>
      <c r="F65" s="1955">
        <v>0.99598964319999705</v>
      </c>
      <c r="G65" s="2754">
        <v>1.24352174000001</v>
      </c>
      <c r="H65" s="2915">
        <v>4.8891776199999999</v>
      </c>
      <c r="I65" s="407">
        <v>9.1500339199999594</v>
      </c>
      <c r="J65" s="1479">
        <v>18.7101558200001</v>
      </c>
      <c r="K65" s="2755">
        <v>29.72389136</v>
      </c>
      <c r="L65" s="1399">
        <v>36.817920000000001</v>
      </c>
      <c r="M65" s="2916">
        <v>6.2</v>
      </c>
      <c r="N65" s="2597">
        <v>142.24284622320101</v>
      </c>
      <c r="O65" s="281"/>
    </row>
    <row r="66" spans="1:15" ht="14" customHeight="1" x14ac:dyDescent="0.15">
      <c r="A66" s="13"/>
      <c r="B66" s="2916">
        <v>6.3</v>
      </c>
      <c r="C66" s="2910">
        <v>2.4849999999999898E-3</v>
      </c>
      <c r="D66" s="2751">
        <v>0.87331108000000002</v>
      </c>
      <c r="E66" s="2750">
        <v>0.80646819999999797</v>
      </c>
      <c r="F66" s="1955">
        <v>0.99565543919999699</v>
      </c>
      <c r="G66" s="2754">
        <v>1.22028801000001</v>
      </c>
      <c r="H66" s="2753">
        <v>4.8636466299999999</v>
      </c>
      <c r="I66" s="407">
        <v>9.1184540799999603</v>
      </c>
      <c r="J66" s="1479">
        <v>18.671177930000098</v>
      </c>
      <c r="K66" s="2755">
        <v>29.696867139999998</v>
      </c>
      <c r="L66" s="1399">
        <v>36.599080000000001</v>
      </c>
      <c r="M66" s="2916">
        <v>6.3</v>
      </c>
      <c r="N66" s="2597">
        <v>141.852764909201</v>
      </c>
      <c r="O66" s="281"/>
    </row>
    <row r="67" spans="1:15" ht="14" customHeight="1" x14ac:dyDescent="0.15">
      <c r="A67" s="13"/>
      <c r="B67" s="2916">
        <v>6.4</v>
      </c>
      <c r="C67" s="2910">
        <v>2.47999999999999E-3</v>
      </c>
      <c r="D67" s="2751">
        <v>0.86360424000000002</v>
      </c>
      <c r="E67" s="2750">
        <v>0.79161959999999798</v>
      </c>
      <c r="F67" s="1955">
        <v>0.99532123519999705</v>
      </c>
      <c r="G67" s="2754">
        <v>1.1970542800000099</v>
      </c>
      <c r="H67" s="2915">
        <v>4.8381156399999998</v>
      </c>
      <c r="I67" s="407">
        <v>9.0868742399999807</v>
      </c>
      <c r="J67" s="1479">
        <v>18.6322000400001</v>
      </c>
      <c r="K67" s="2755">
        <v>29.669842920000001</v>
      </c>
      <c r="L67" s="1399">
        <v>36.380240000000001</v>
      </c>
      <c r="M67" s="2916">
        <v>6.4</v>
      </c>
      <c r="N67" s="2597">
        <v>141.46268359520101</v>
      </c>
      <c r="O67" s="281"/>
    </row>
    <row r="68" spans="1:15" ht="14" customHeight="1" x14ac:dyDescent="0.15">
      <c r="A68" s="13"/>
      <c r="B68" s="2916">
        <v>6.5</v>
      </c>
      <c r="C68" s="2910">
        <v>2.4749999999999898E-3</v>
      </c>
      <c r="D68" s="2751">
        <v>0.85389740000000003</v>
      </c>
      <c r="E68" s="2750">
        <v>0.77677099999999699</v>
      </c>
      <c r="F68" s="1955">
        <v>0.99498703119999699</v>
      </c>
      <c r="G68" s="2754">
        <v>1.1738205500000101</v>
      </c>
      <c r="H68" s="2753">
        <v>4.8125846499999998</v>
      </c>
      <c r="I68" s="407">
        <v>9.0552943999999709</v>
      </c>
      <c r="J68" s="1479">
        <v>18.593222150000098</v>
      </c>
      <c r="K68" s="2755">
        <v>29.642818699999999</v>
      </c>
      <c r="L68" s="1399">
        <v>36.1614</v>
      </c>
      <c r="M68" s="2916">
        <v>6.5</v>
      </c>
      <c r="N68" s="2597">
        <v>141.072602281201</v>
      </c>
      <c r="O68" s="281"/>
    </row>
    <row r="69" spans="1:15" ht="14" customHeight="1" x14ac:dyDescent="0.15">
      <c r="A69" s="13"/>
      <c r="B69" s="2916">
        <v>6.6</v>
      </c>
      <c r="C69" s="2910">
        <v>2.46999999999999E-3</v>
      </c>
      <c r="D69" s="2751">
        <v>0.84419056000000003</v>
      </c>
      <c r="E69" s="2750">
        <v>0.761922399999997</v>
      </c>
      <c r="F69" s="1955">
        <v>0.99465282719999704</v>
      </c>
      <c r="G69" s="2754">
        <v>1.15058682000001</v>
      </c>
      <c r="H69" s="2915">
        <v>4.7870536599999998</v>
      </c>
      <c r="I69" s="407">
        <v>9.0237145599999806</v>
      </c>
      <c r="J69" s="1479">
        <v>18.5542442600001</v>
      </c>
      <c r="K69" s="2755">
        <v>29.615794480000002</v>
      </c>
      <c r="L69" s="1399">
        <v>35.94256</v>
      </c>
      <c r="M69" s="2916">
        <v>6.6</v>
      </c>
      <c r="N69" s="2597">
        <v>140.68252096720099</v>
      </c>
      <c r="O69" s="281"/>
    </row>
    <row r="70" spans="1:15" ht="14" customHeight="1" x14ac:dyDescent="0.15">
      <c r="A70" s="13"/>
      <c r="B70" s="2916">
        <v>6.7</v>
      </c>
      <c r="C70" s="2910">
        <v>2.4649999999999902E-3</v>
      </c>
      <c r="D70" s="2751">
        <v>0.83448372000000004</v>
      </c>
      <c r="E70" s="2750">
        <v>0.74707379999999701</v>
      </c>
      <c r="F70" s="1955">
        <v>0.99431862319999698</v>
      </c>
      <c r="G70" s="2754">
        <v>1.1273530900000099</v>
      </c>
      <c r="H70" s="2753">
        <v>4.7615226699999997</v>
      </c>
      <c r="I70" s="407">
        <v>8.9921347199999708</v>
      </c>
      <c r="J70" s="1479">
        <v>18.515266370000099</v>
      </c>
      <c r="K70" s="2755">
        <v>29.58877026</v>
      </c>
      <c r="L70" s="1399">
        <v>35.72372</v>
      </c>
      <c r="M70" s="2916">
        <v>6.7</v>
      </c>
      <c r="N70" s="2597">
        <v>140.292439653201</v>
      </c>
      <c r="O70" s="281"/>
    </row>
    <row r="71" spans="1:15" ht="14" customHeight="1" x14ac:dyDescent="0.15">
      <c r="A71" s="13"/>
      <c r="B71" s="2916">
        <v>6.8</v>
      </c>
      <c r="C71" s="2910">
        <v>2.45999999999999E-3</v>
      </c>
      <c r="D71" s="2751">
        <v>0.82477688000000005</v>
      </c>
      <c r="E71" s="2750">
        <v>0.73222519999999403</v>
      </c>
      <c r="F71" s="1955">
        <v>0.99398441919999603</v>
      </c>
      <c r="G71" s="2754">
        <v>1.1041193600000101</v>
      </c>
      <c r="H71" s="2915">
        <v>4.7359916799999997</v>
      </c>
      <c r="I71" s="407">
        <v>8.9605548799999806</v>
      </c>
      <c r="J71" s="1479">
        <v>18.4762884800001</v>
      </c>
      <c r="K71" s="2755">
        <v>29.561746039999999</v>
      </c>
      <c r="L71" s="1399">
        <v>35.50488</v>
      </c>
      <c r="M71" s="2916">
        <v>6.8</v>
      </c>
      <c r="N71" s="2597">
        <v>139.90235833920099</v>
      </c>
      <c r="O71" s="281"/>
    </row>
    <row r="72" spans="1:15" ht="14" customHeight="1" x14ac:dyDescent="0.15">
      <c r="A72" s="13"/>
      <c r="B72" s="2916">
        <v>6.9</v>
      </c>
      <c r="C72" s="2910">
        <v>2.4549999999999902E-3</v>
      </c>
      <c r="D72" s="2751">
        <v>0.81507003999999905</v>
      </c>
      <c r="E72" s="2750">
        <v>0.71737659999999404</v>
      </c>
      <c r="F72" s="1955">
        <v>0.99365021519999597</v>
      </c>
      <c r="G72" s="2754">
        <v>1.08088563000001</v>
      </c>
      <c r="H72" s="2753">
        <v>4.7104606899999997</v>
      </c>
      <c r="I72" s="407">
        <v>8.9289750399999708</v>
      </c>
      <c r="J72" s="1479">
        <v>18.437310590000099</v>
      </c>
      <c r="K72" s="2755">
        <v>29.534721820000001</v>
      </c>
      <c r="L72" s="1399">
        <v>35.28604</v>
      </c>
      <c r="M72" s="2916">
        <v>6.9</v>
      </c>
      <c r="N72" s="2597">
        <v>139.512277025201</v>
      </c>
      <c r="O72" s="281"/>
    </row>
    <row r="73" spans="1:15" s="2930" customFormat="1" ht="16" customHeight="1" x14ac:dyDescent="0.15">
      <c r="A73" s="2920"/>
      <c r="B73" s="2914">
        <v>7</v>
      </c>
      <c r="C73" s="2921">
        <v>2.4499999999999899E-3</v>
      </c>
      <c r="D73" s="2922">
        <v>0.80536319999999995</v>
      </c>
      <c r="E73" s="1660">
        <v>0.70252799999999405</v>
      </c>
      <c r="F73" s="2923">
        <v>0.99331601119999602</v>
      </c>
      <c r="G73" s="2924">
        <v>1.05765190000001</v>
      </c>
      <c r="H73" s="2915">
        <v>4.6849296999999996</v>
      </c>
      <c r="I73" s="955">
        <v>8.8973951999999805</v>
      </c>
      <c r="J73" s="2925">
        <v>18.3983327000001</v>
      </c>
      <c r="K73" s="2926">
        <v>29.5076976</v>
      </c>
      <c r="L73" s="2927">
        <v>35.0672</v>
      </c>
      <c r="M73" s="2914">
        <v>7</v>
      </c>
      <c r="N73" s="2928">
        <v>139.12219571120099</v>
      </c>
      <c r="O73" s="2929"/>
    </row>
    <row r="74" spans="1:15" ht="14" customHeight="1" x14ac:dyDescent="0.15">
      <c r="A74" s="13"/>
      <c r="B74" s="2916">
        <v>7.1</v>
      </c>
      <c r="C74" s="2910">
        <v>2.4449999999999901E-3</v>
      </c>
      <c r="D74" s="2751">
        <v>0.79565635999999995</v>
      </c>
      <c r="E74" s="2750">
        <v>0.68767939999999395</v>
      </c>
      <c r="F74" s="1955">
        <v>0.99298180719999596</v>
      </c>
      <c r="G74" s="2754">
        <v>1.0344181700000099</v>
      </c>
      <c r="H74" s="2753">
        <v>4.6593987099999996</v>
      </c>
      <c r="I74" s="407">
        <v>8.8658153599999707</v>
      </c>
      <c r="J74" s="1479">
        <v>18.359354810000099</v>
      </c>
      <c r="K74" s="2755">
        <v>29.480673379999999</v>
      </c>
      <c r="L74" s="1399">
        <v>34.84836</v>
      </c>
      <c r="M74" s="2916">
        <v>7.1</v>
      </c>
      <c r="N74" s="2597">
        <v>138.732114397201</v>
      </c>
      <c r="O74" s="281"/>
    </row>
    <row r="75" spans="1:15" ht="14" customHeight="1" x14ac:dyDescent="0.15">
      <c r="A75" s="13"/>
      <c r="B75" s="2916">
        <v>7.2</v>
      </c>
      <c r="C75" s="2910">
        <v>2.4399999999999899E-3</v>
      </c>
      <c r="D75" s="2751">
        <v>0.78594951999999996</v>
      </c>
      <c r="E75" s="2750">
        <v>0.67283079999999496</v>
      </c>
      <c r="F75" s="1955">
        <v>0.99264760319999601</v>
      </c>
      <c r="G75" s="2754">
        <v>1.0111844400000101</v>
      </c>
      <c r="H75" s="2915">
        <v>4.6338677199999996</v>
      </c>
      <c r="I75" s="407">
        <v>8.8342355199999805</v>
      </c>
      <c r="J75" s="1479">
        <v>18.320376920000101</v>
      </c>
      <c r="K75" s="2755">
        <v>29.453649160000001</v>
      </c>
      <c r="L75" s="1399">
        <v>34.629519999999999</v>
      </c>
      <c r="M75" s="2916">
        <v>7.2</v>
      </c>
      <c r="N75" s="2597">
        <v>138.34203308320099</v>
      </c>
      <c r="O75" s="281"/>
    </row>
    <row r="76" spans="1:15" ht="14" customHeight="1" x14ac:dyDescent="0.15">
      <c r="A76" s="13"/>
      <c r="B76" s="2916">
        <v>7.3</v>
      </c>
      <c r="C76" s="2910">
        <v>2.4349999999999901E-3</v>
      </c>
      <c r="D76" s="2751">
        <v>0.77624267999999996</v>
      </c>
      <c r="E76" s="2750">
        <v>0.65798219999999397</v>
      </c>
      <c r="F76" s="1955">
        <v>0.99231339919999595</v>
      </c>
      <c r="G76" s="2754">
        <v>0.987950710000007</v>
      </c>
      <c r="H76" s="2753">
        <v>4.6083367300000004</v>
      </c>
      <c r="I76" s="407">
        <v>8.8026556799999707</v>
      </c>
      <c r="J76" s="1479">
        <v>18.281399029999999</v>
      </c>
      <c r="K76" s="2755">
        <v>29.42662494</v>
      </c>
      <c r="L76" s="1399">
        <v>34.410679999999999</v>
      </c>
      <c r="M76" s="2916">
        <v>7.3</v>
      </c>
      <c r="N76" s="2597">
        <v>137.951951769201</v>
      </c>
      <c r="O76" s="281"/>
    </row>
    <row r="77" spans="1:15" ht="14" customHeight="1" x14ac:dyDescent="0.15">
      <c r="A77" s="13"/>
      <c r="B77" s="2916">
        <v>7.4</v>
      </c>
      <c r="C77" s="2910">
        <v>2.4299999999999899E-3</v>
      </c>
      <c r="D77" s="2751">
        <v>0.76653583999999997</v>
      </c>
      <c r="E77" s="2750">
        <v>0.64313359999999398</v>
      </c>
      <c r="F77" s="1955">
        <v>0.991979195199996</v>
      </c>
      <c r="G77" s="2754">
        <v>0.96471698000000705</v>
      </c>
      <c r="H77" s="2915">
        <v>4.5828057400000004</v>
      </c>
      <c r="I77" s="407">
        <v>8.7710758399999804</v>
      </c>
      <c r="J77" s="1479">
        <v>18.242421140000001</v>
      </c>
      <c r="K77" s="2755">
        <v>29.399600719999999</v>
      </c>
      <c r="L77" s="1399">
        <v>34.191839999999999</v>
      </c>
      <c r="M77" s="2916">
        <v>7.4</v>
      </c>
      <c r="N77" s="2597">
        <v>137.56187045520099</v>
      </c>
      <c r="O77" s="281"/>
    </row>
    <row r="78" spans="1:15" ht="14" customHeight="1" x14ac:dyDescent="0.15">
      <c r="A78" s="13"/>
      <c r="B78" s="2916">
        <v>7.5</v>
      </c>
      <c r="C78" s="2910">
        <v>2.4249999999999901E-3</v>
      </c>
      <c r="D78" s="2751">
        <v>0.75682899999999997</v>
      </c>
      <c r="E78" s="2750">
        <v>0.62828499999999399</v>
      </c>
      <c r="F78" s="1955">
        <v>0.99164499119999605</v>
      </c>
      <c r="G78" s="2754">
        <v>0.94148325000000699</v>
      </c>
      <c r="H78" s="2753">
        <v>4.5572747500000004</v>
      </c>
      <c r="I78" s="407">
        <v>8.7394959999999706</v>
      </c>
      <c r="J78" s="1479">
        <v>18.203443249999999</v>
      </c>
      <c r="K78" s="2755">
        <v>29.372576500000001</v>
      </c>
      <c r="L78" s="1399">
        <v>33.972999999999999</v>
      </c>
      <c r="M78" s="2916">
        <v>7.5</v>
      </c>
      <c r="N78" s="2597">
        <v>137.171789141201</v>
      </c>
      <c r="O78" s="281"/>
    </row>
    <row r="79" spans="1:15" ht="14" customHeight="1" x14ac:dyDescent="0.15">
      <c r="A79" s="13"/>
      <c r="B79" s="2916">
        <v>7.6</v>
      </c>
      <c r="C79" s="2910">
        <v>2.4199999999999899E-3</v>
      </c>
      <c r="D79" s="2751">
        <v>0.74712215999999998</v>
      </c>
      <c r="E79" s="2750">
        <v>0.613436399999994</v>
      </c>
      <c r="F79" s="1955">
        <v>0.99131078719999599</v>
      </c>
      <c r="G79" s="2754">
        <v>0.91824952000000704</v>
      </c>
      <c r="H79" s="2915">
        <v>4.5317437600000003</v>
      </c>
      <c r="I79" s="407">
        <v>8.7079161599999892</v>
      </c>
      <c r="J79" s="1479">
        <v>18.164465360000001</v>
      </c>
      <c r="K79" s="2755">
        <v>29.34555228</v>
      </c>
      <c r="L79" s="1399">
        <v>33.754159999999999</v>
      </c>
      <c r="M79" s="2916">
        <v>7.6</v>
      </c>
      <c r="N79" s="2597">
        <v>136.78170782719999</v>
      </c>
      <c r="O79" s="281"/>
    </row>
    <row r="80" spans="1:15" ht="14" customHeight="1" x14ac:dyDescent="0.15">
      <c r="A80" s="13"/>
      <c r="B80" s="2916">
        <v>7.7</v>
      </c>
      <c r="C80" s="2910">
        <v>2.415E-3</v>
      </c>
      <c r="D80" s="2751">
        <v>0.73741531999999999</v>
      </c>
      <c r="E80" s="2750">
        <v>0.59858779999999401</v>
      </c>
      <c r="F80" s="1955">
        <v>0.99097658319999604</v>
      </c>
      <c r="G80" s="2754">
        <v>0.89501579000000697</v>
      </c>
      <c r="H80" s="2753">
        <v>4.5062127700000003</v>
      </c>
      <c r="I80" s="407">
        <v>8.6763363199999795</v>
      </c>
      <c r="J80" s="1479">
        <v>18.125487469999999</v>
      </c>
      <c r="K80" s="2755">
        <v>29.318528059999998</v>
      </c>
      <c r="L80" s="1399">
        <v>33.535319999999999</v>
      </c>
      <c r="M80" s="2916">
        <v>7.7</v>
      </c>
      <c r="N80" s="2597">
        <v>136.39162651320001</v>
      </c>
      <c r="O80" s="281"/>
    </row>
    <row r="81" spans="1:15" ht="14" customHeight="1" x14ac:dyDescent="0.15">
      <c r="A81" s="13"/>
      <c r="B81" s="2916">
        <v>7.8</v>
      </c>
      <c r="C81" s="2910">
        <v>2.4099999999999998E-3</v>
      </c>
      <c r="D81" s="2751">
        <v>0.72770847999999999</v>
      </c>
      <c r="E81" s="2750">
        <v>0.58373919999999402</v>
      </c>
      <c r="F81" s="1955">
        <v>0.99064237919999598</v>
      </c>
      <c r="G81" s="2754">
        <v>0.87178206000000702</v>
      </c>
      <c r="H81" s="2915">
        <v>4.4806817800000003</v>
      </c>
      <c r="I81" s="407">
        <v>8.6447564799999803</v>
      </c>
      <c r="J81" s="1479">
        <v>18.086509580000001</v>
      </c>
      <c r="K81" s="2755">
        <v>29.291503840000001</v>
      </c>
      <c r="L81" s="1399">
        <v>33.316479999999999</v>
      </c>
      <c r="M81" s="2916">
        <v>7.8</v>
      </c>
      <c r="N81" s="2597">
        <v>136.0015451992</v>
      </c>
      <c r="O81" s="281"/>
    </row>
    <row r="82" spans="1:15" ht="14" customHeight="1" x14ac:dyDescent="0.15">
      <c r="A82" s="13"/>
      <c r="B82" s="2916">
        <v>7.9</v>
      </c>
      <c r="C82" s="2910">
        <v>2.405E-3</v>
      </c>
      <c r="D82" s="2751">
        <v>0.71800164</v>
      </c>
      <c r="E82" s="2750">
        <v>0.56889059999999403</v>
      </c>
      <c r="F82" s="1955">
        <v>0.99030817519999603</v>
      </c>
      <c r="G82" s="2754">
        <v>0.84854833000000696</v>
      </c>
      <c r="H82" s="2753">
        <v>4.4551507900000002</v>
      </c>
      <c r="I82" s="407">
        <v>8.6131766399999794</v>
      </c>
      <c r="J82" s="1479">
        <v>18.04753169</v>
      </c>
      <c r="K82" s="2755">
        <v>29.264479619999999</v>
      </c>
      <c r="L82" s="1399">
        <v>33.097639999999998</v>
      </c>
      <c r="M82" s="2916">
        <v>7.9</v>
      </c>
      <c r="N82" s="2597">
        <v>135.61146388520001</v>
      </c>
      <c r="O82" s="281"/>
    </row>
    <row r="83" spans="1:15" s="2930" customFormat="1" ht="16" customHeight="1" x14ac:dyDescent="0.15">
      <c r="A83" s="2920"/>
      <c r="B83" s="2914">
        <v>8</v>
      </c>
      <c r="C83" s="2921">
        <v>2.3999999999999998E-3</v>
      </c>
      <c r="D83" s="2922">
        <v>0.7082948</v>
      </c>
      <c r="E83" s="1660">
        <v>0.55404199999999404</v>
      </c>
      <c r="F83" s="2923">
        <v>0.98997397119999597</v>
      </c>
      <c r="G83" s="2924">
        <v>0.825314600000007</v>
      </c>
      <c r="H83" s="2915">
        <v>4.4296198000000002</v>
      </c>
      <c r="I83" s="955">
        <v>8.5815967999999891</v>
      </c>
      <c r="J83" s="2925">
        <v>18.008553800000001</v>
      </c>
      <c r="K83" s="2926">
        <v>29.237455400000002</v>
      </c>
      <c r="L83" s="2927">
        <v>32.878799999999998</v>
      </c>
      <c r="M83" s="2914">
        <v>8</v>
      </c>
      <c r="N83" s="2928">
        <v>135.2213825712</v>
      </c>
      <c r="O83" s="2929"/>
    </row>
    <row r="84" spans="1:15" ht="14" customHeight="1" x14ac:dyDescent="0.15">
      <c r="A84" s="13"/>
      <c r="B84" s="2916">
        <v>8.1</v>
      </c>
      <c r="C84" s="2910">
        <v>2.395E-3</v>
      </c>
      <c r="D84" s="2751">
        <v>0.69858796000000001</v>
      </c>
      <c r="E84" s="2750">
        <v>0.53919339999999405</v>
      </c>
      <c r="F84" s="1955">
        <v>0.98963976719999602</v>
      </c>
      <c r="G84" s="2754">
        <v>0.80208087000000705</v>
      </c>
      <c r="H84" s="2753">
        <v>4.4040888100000002</v>
      </c>
      <c r="I84" s="407">
        <v>8.5500169599999793</v>
      </c>
      <c r="J84" s="1479">
        <v>17.96957591</v>
      </c>
      <c r="K84" s="2755">
        <v>29.21043118</v>
      </c>
      <c r="L84" s="1399">
        <v>32.659959999999998</v>
      </c>
      <c r="M84" s="2916">
        <v>8.1</v>
      </c>
      <c r="N84" s="2597">
        <v>134.83130125720001</v>
      </c>
      <c r="O84" s="281"/>
    </row>
    <row r="85" spans="1:15" ht="14" customHeight="1" x14ac:dyDescent="0.15">
      <c r="A85" s="13"/>
      <c r="B85" s="2916">
        <v>8.1999999999999993</v>
      </c>
      <c r="C85" s="2910">
        <v>2.3900000000000002E-3</v>
      </c>
      <c r="D85" s="2751">
        <v>0.68888112000000001</v>
      </c>
      <c r="E85" s="2750">
        <v>0.52434479999999395</v>
      </c>
      <c r="F85" s="1955">
        <v>0.98930556319999596</v>
      </c>
      <c r="G85" s="2754">
        <v>0.77884714000000699</v>
      </c>
      <c r="H85" s="2915">
        <v>4.3785578200000002</v>
      </c>
      <c r="I85" s="407">
        <v>8.5184371199999802</v>
      </c>
      <c r="J85" s="1479">
        <v>17.930598020000001</v>
      </c>
      <c r="K85" s="2755">
        <v>29.183406959999999</v>
      </c>
      <c r="L85" s="1399">
        <v>32.441119999999998</v>
      </c>
      <c r="M85" s="2916">
        <v>8.1999999999999993</v>
      </c>
      <c r="N85" s="2597">
        <v>134.4412199432</v>
      </c>
      <c r="O85" s="281"/>
    </row>
    <row r="86" spans="1:15" ht="14" customHeight="1" x14ac:dyDescent="0.15">
      <c r="A86" s="13"/>
      <c r="B86" s="2916">
        <v>8.3000000000000007</v>
      </c>
      <c r="C86" s="2910">
        <v>2.385E-3</v>
      </c>
      <c r="D86" s="2751">
        <v>0.67917428000000002</v>
      </c>
      <c r="E86" s="2750">
        <v>0.50949619999999496</v>
      </c>
      <c r="F86" s="1955">
        <v>0.98897135919999601</v>
      </c>
      <c r="G86" s="2754">
        <v>0.75561341000000704</v>
      </c>
      <c r="H86" s="2753">
        <v>4.3530268300000001</v>
      </c>
      <c r="I86" s="407">
        <v>8.4868572799999793</v>
      </c>
      <c r="J86" s="1479">
        <v>17.89162013</v>
      </c>
      <c r="K86" s="2755">
        <v>29.156382740000002</v>
      </c>
      <c r="L86" s="1399">
        <v>32.222279999999998</v>
      </c>
      <c r="M86" s="2916">
        <v>8.3000000000000007</v>
      </c>
      <c r="N86" s="2597">
        <v>134.05113862920001</v>
      </c>
      <c r="O86" s="281"/>
    </row>
    <row r="87" spans="1:15" ht="14" customHeight="1" x14ac:dyDescent="0.15">
      <c r="A87" s="13"/>
      <c r="B87" s="2916">
        <v>8.4</v>
      </c>
      <c r="C87" s="2910">
        <v>2.3800000000000002E-3</v>
      </c>
      <c r="D87" s="2751">
        <v>0.66946744000000002</v>
      </c>
      <c r="E87" s="2750">
        <v>0.49464759999999403</v>
      </c>
      <c r="F87" s="1955">
        <v>0.98863715519999595</v>
      </c>
      <c r="G87" s="2754">
        <v>0.73237968000000697</v>
      </c>
      <c r="H87" s="2915">
        <v>4.3274958400000001</v>
      </c>
      <c r="I87" s="407">
        <v>8.4552774399999908</v>
      </c>
      <c r="J87" s="1479">
        <v>17.852642240000002</v>
      </c>
      <c r="K87" s="2755">
        <v>29.12935852</v>
      </c>
      <c r="L87" s="1399">
        <v>32.003439999999998</v>
      </c>
      <c r="M87" s="2916">
        <v>8.4</v>
      </c>
      <c r="N87" s="2597">
        <v>133.6610573152</v>
      </c>
      <c r="O87" s="281"/>
    </row>
    <row r="88" spans="1:15" ht="14" customHeight="1" x14ac:dyDescent="0.15">
      <c r="A88" s="13"/>
      <c r="B88" s="2916">
        <v>8.5</v>
      </c>
      <c r="C88" s="2910">
        <v>2.3749999999999999E-3</v>
      </c>
      <c r="D88" s="2751">
        <v>0.65976060000000003</v>
      </c>
      <c r="E88" s="2750">
        <v>0.47979899999999398</v>
      </c>
      <c r="F88" s="1955">
        <v>0.98830295119999501</v>
      </c>
      <c r="G88" s="2754">
        <v>0.70914595000000702</v>
      </c>
      <c r="H88" s="2753">
        <v>4.3019648500000001</v>
      </c>
      <c r="I88" s="407">
        <v>8.4236975999999792</v>
      </c>
      <c r="J88" s="1479">
        <v>17.81366435</v>
      </c>
      <c r="K88" s="2755">
        <v>29.102334299999999</v>
      </c>
      <c r="L88" s="1399">
        <v>31.784600000000001</v>
      </c>
      <c r="M88" s="2916">
        <v>8.5</v>
      </c>
      <c r="N88" s="2597">
        <v>133.27097600120001</v>
      </c>
      <c r="O88" s="281"/>
    </row>
    <row r="89" spans="1:15" ht="14" customHeight="1" x14ac:dyDescent="0.15">
      <c r="A89" s="13"/>
      <c r="B89" s="2916">
        <v>8.6</v>
      </c>
      <c r="C89" s="2910">
        <v>2.3700000000000001E-3</v>
      </c>
      <c r="D89" s="2751">
        <v>0.65005376000000004</v>
      </c>
      <c r="E89" s="2750">
        <v>0.46495039999999399</v>
      </c>
      <c r="F89" s="1955">
        <v>0.98796874719999495</v>
      </c>
      <c r="G89" s="2754">
        <v>0.68591222000000696</v>
      </c>
      <c r="H89" s="2915">
        <v>4.27643386</v>
      </c>
      <c r="I89" s="407">
        <v>8.3921177599999908</v>
      </c>
      <c r="J89" s="1479">
        <v>17.774686460000002</v>
      </c>
      <c r="K89" s="2755">
        <v>29.075310080000001</v>
      </c>
      <c r="L89" s="1399">
        <v>31.565760000000001</v>
      </c>
      <c r="M89" s="2916">
        <v>8.6</v>
      </c>
      <c r="N89" s="2597">
        <v>132.8808946872</v>
      </c>
      <c r="O89" s="281"/>
    </row>
    <row r="90" spans="1:15" ht="14" customHeight="1" x14ac:dyDescent="0.15">
      <c r="A90" s="13"/>
      <c r="B90" s="2916">
        <v>8.6999999999999993</v>
      </c>
      <c r="C90" s="2910">
        <v>2.3649999999999999E-3</v>
      </c>
      <c r="D90" s="2751">
        <v>0.64034692000000004</v>
      </c>
      <c r="E90" s="2750">
        <v>0.450101799999994</v>
      </c>
      <c r="F90" s="1955">
        <v>0.987634543199995</v>
      </c>
      <c r="G90" s="2754">
        <v>0.662678490000007</v>
      </c>
      <c r="H90" s="2753">
        <v>4.25090287</v>
      </c>
      <c r="I90" s="407">
        <v>8.3605379200000005</v>
      </c>
      <c r="J90" s="1479">
        <v>17.73570857</v>
      </c>
      <c r="K90" s="2755">
        <v>29.04828586</v>
      </c>
      <c r="L90" s="1399">
        <v>31.346920000000001</v>
      </c>
      <c r="M90" s="2916">
        <v>8.6999999999999993</v>
      </c>
      <c r="N90" s="2597">
        <v>132.49081337320001</v>
      </c>
      <c r="O90" s="281"/>
    </row>
    <row r="91" spans="1:15" ht="14" customHeight="1" x14ac:dyDescent="0.15">
      <c r="A91" s="13"/>
      <c r="B91" s="2916">
        <v>8.8000000000000007</v>
      </c>
      <c r="C91" s="2910">
        <v>2.3600000000000001E-3</v>
      </c>
      <c r="D91" s="2751">
        <v>0.63064008000000005</v>
      </c>
      <c r="E91" s="2750">
        <v>0.43525319999999401</v>
      </c>
      <c r="F91" s="1955">
        <v>0.98730033919999505</v>
      </c>
      <c r="G91" s="2754">
        <v>0.63944476000000705</v>
      </c>
      <c r="H91" s="2915">
        <v>4.22537188</v>
      </c>
      <c r="I91" s="407">
        <v>8.3289580799999907</v>
      </c>
      <c r="J91" s="1479">
        <v>17.696730680000002</v>
      </c>
      <c r="K91" s="2755">
        <v>29.021261639999999</v>
      </c>
      <c r="L91" s="1399">
        <v>31.128080000000001</v>
      </c>
      <c r="M91" s="2916">
        <v>8.8000000000000007</v>
      </c>
      <c r="N91" s="2597">
        <v>132.1007320592</v>
      </c>
      <c r="O91" s="281"/>
    </row>
    <row r="92" spans="1:15" ht="14" customHeight="1" x14ac:dyDescent="0.15">
      <c r="A92" s="13"/>
      <c r="B92" s="2916">
        <v>8.9</v>
      </c>
      <c r="C92" s="2910">
        <v>2.3549999999999999E-3</v>
      </c>
      <c r="D92" s="2751">
        <v>0.62093324000000005</v>
      </c>
      <c r="E92" s="2750">
        <v>0.42040459999999402</v>
      </c>
      <c r="F92" s="1955">
        <v>0.98696613519999499</v>
      </c>
      <c r="G92" s="2754">
        <v>0.61621103000000699</v>
      </c>
      <c r="H92" s="2753">
        <v>4.1998408899999999</v>
      </c>
      <c r="I92" s="407">
        <v>8.2973782400000005</v>
      </c>
      <c r="J92" s="1479">
        <v>17.65775279</v>
      </c>
      <c r="K92" s="2755">
        <v>28.994237420000001</v>
      </c>
      <c r="L92" s="1399">
        <v>30.90924</v>
      </c>
      <c r="M92" s="2916">
        <v>8.9</v>
      </c>
      <c r="N92" s="2597">
        <v>131.71065074520001</v>
      </c>
      <c r="O92" s="281"/>
    </row>
    <row r="93" spans="1:15" s="2930" customFormat="1" ht="16" customHeight="1" x14ac:dyDescent="0.15">
      <c r="A93" s="2920"/>
      <c r="B93" s="2914">
        <v>9</v>
      </c>
      <c r="C93" s="2921">
        <v>2.3500000000000001E-3</v>
      </c>
      <c r="D93" s="2922">
        <v>0.61122640000000095</v>
      </c>
      <c r="E93" s="1660">
        <v>0.40555599999999398</v>
      </c>
      <c r="F93" s="2923">
        <v>0.98663193119999504</v>
      </c>
      <c r="G93" s="2924">
        <v>0.59297730000000703</v>
      </c>
      <c r="H93" s="2915">
        <v>4.1743098999999999</v>
      </c>
      <c r="I93" s="955">
        <v>8.2657983999999907</v>
      </c>
      <c r="J93" s="2925">
        <v>17.618774899999998</v>
      </c>
      <c r="K93" s="2926">
        <v>28.9672132</v>
      </c>
      <c r="L93" s="2927">
        <v>30.6904</v>
      </c>
      <c r="M93" s="2914">
        <v>9</v>
      </c>
      <c r="N93" s="2928">
        <v>131.3205694312</v>
      </c>
      <c r="O93" s="2929"/>
    </row>
    <row r="94" spans="1:15" ht="14" customHeight="1" x14ac:dyDescent="0.15">
      <c r="A94" s="13"/>
      <c r="B94" s="2916">
        <v>9.1</v>
      </c>
      <c r="C94" s="2910">
        <v>2.3449999999999999E-3</v>
      </c>
      <c r="D94" s="2751">
        <v>0.60151956000000095</v>
      </c>
      <c r="E94" s="2750">
        <v>0.39070739999999399</v>
      </c>
      <c r="F94" s="1955">
        <v>0.98629772719999498</v>
      </c>
      <c r="G94" s="2754">
        <v>0.56974357000000697</v>
      </c>
      <c r="H94" s="2753">
        <v>4.1487789099999999</v>
      </c>
      <c r="I94" s="407">
        <v>8.2342185600000004</v>
      </c>
      <c r="J94" s="1479">
        <v>17.57979701</v>
      </c>
      <c r="K94" s="2755">
        <v>28.940188979999999</v>
      </c>
      <c r="L94" s="1399">
        <v>30.47156</v>
      </c>
      <c r="M94" s="2916">
        <v>9.1</v>
      </c>
      <c r="N94" s="2597">
        <v>130.93048811720001</v>
      </c>
      <c r="O94" s="281"/>
    </row>
    <row r="95" spans="1:15" ht="14" customHeight="1" x14ac:dyDescent="0.15">
      <c r="A95" s="13"/>
      <c r="B95" s="2916">
        <v>9.1999999999999993</v>
      </c>
      <c r="C95" s="2910">
        <v>2.3400000000000001E-3</v>
      </c>
      <c r="D95" s="2751">
        <v>0.59181272000000096</v>
      </c>
      <c r="E95" s="2750">
        <v>0.375858799999994</v>
      </c>
      <c r="F95" s="1955">
        <v>0.98596352319999503</v>
      </c>
      <c r="G95" s="2754">
        <v>0.54650984000000702</v>
      </c>
      <c r="H95" s="2915">
        <v>4.1232479199999998</v>
      </c>
      <c r="I95" s="407">
        <v>8.2026387199999906</v>
      </c>
      <c r="J95" s="1479">
        <v>17.540819119999998</v>
      </c>
      <c r="K95" s="2755">
        <v>28.913164760000001</v>
      </c>
      <c r="L95" s="1399">
        <v>30.25272</v>
      </c>
      <c r="M95" s="2916">
        <v>9.1999999999999993</v>
      </c>
      <c r="N95" s="2597">
        <v>130.5404068032</v>
      </c>
      <c r="O95" s="281"/>
    </row>
    <row r="96" spans="1:15" ht="14" customHeight="1" x14ac:dyDescent="0.15">
      <c r="A96" s="13"/>
      <c r="B96" s="2916">
        <v>9.3000000000000007</v>
      </c>
      <c r="C96" s="2910">
        <v>2.3349999999999998E-3</v>
      </c>
      <c r="D96" s="2751">
        <v>0.58210588000000096</v>
      </c>
      <c r="E96" s="2750">
        <v>0.36101019999999401</v>
      </c>
      <c r="F96" s="1955">
        <v>0.98562931919999497</v>
      </c>
      <c r="G96" s="2754">
        <v>0.52327611000000696</v>
      </c>
      <c r="H96" s="2753">
        <v>4.0977169299999998</v>
      </c>
      <c r="I96" s="407">
        <v>8.1710588800000004</v>
      </c>
      <c r="J96" s="1479">
        <v>17.50184123</v>
      </c>
      <c r="K96" s="2755">
        <v>28.88614054</v>
      </c>
      <c r="L96" s="1399">
        <v>30.03388</v>
      </c>
      <c r="M96" s="2916">
        <v>9.3000000000000007</v>
      </c>
      <c r="N96" s="2597">
        <v>130.15032548919999</v>
      </c>
      <c r="O96" s="281"/>
    </row>
    <row r="97" spans="1:15" ht="14" customHeight="1" x14ac:dyDescent="0.15">
      <c r="A97" s="13"/>
      <c r="B97" s="2916">
        <v>9.4</v>
      </c>
      <c r="C97" s="2910">
        <v>2.33E-3</v>
      </c>
      <c r="D97" s="2751">
        <v>0.57239904000000097</v>
      </c>
      <c r="E97" s="2750">
        <v>0.34616159999999502</v>
      </c>
      <c r="F97" s="1955">
        <v>0.98529511519999502</v>
      </c>
      <c r="G97" s="2754">
        <v>0.500042380000007</v>
      </c>
      <c r="H97" s="2915">
        <v>4.0721859399999998</v>
      </c>
      <c r="I97" s="407">
        <v>8.1394790399999906</v>
      </c>
      <c r="J97" s="1479">
        <v>17.462863339999998</v>
      </c>
      <c r="K97" s="2755">
        <v>28.859116319999998</v>
      </c>
      <c r="L97" s="1399">
        <v>29.81504</v>
      </c>
      <c r="M97" s="2916">
        <v>9.4</v>
      </c>
      <c r="N97" s="2597">
        <v>129.7602441752</v>
      </c>
      <c r="O97" s="281"/>
    </row>
    <row r="98" spans="1:15" ht="14" customHeight="1" x14ac:dyDescent="0.15">
      <c r="A98" s="13"/>
      <c r="B98" s="2916">
        <v>9.5</v>
      </c>
      <c r="C98" s="2910">
        <v>2.3249999999999998E-3</v>
      </c>
      <c r="D98" s="2751">
        <v>0.56269220000000097</v>
      </c>
      <c r="E98" s="2750">
        <v>0.33131299999999397</v>
      </c>
      <c r="F98" s="1955">
        <v>0.98496091119999496</v>
      </c>
      <c r="G98" s="2754">
        <v>0.47680865000001699</v>
      </c>
      <c r="H98" s="2753">
        <v>4.0466549499999998</v>
      </c>
      <c r="I98" s="407">
        <v>8.1078991999999896</v>
      </c>
      <c r="J98" s="1479">
        <v>17.42388545</v>
      </c>
      <c r="K98" s="2755">
        <v>28.832092100000001</v>
      </c>
      <c r="L98" s="1399">
        <v>29.5962</v>
      </c>
      <c r="M98" s="2916">
        <v>9.5</v>
      </c>
      <c r="N98" s="2597">
        <v>129.37016286119999</v>
      </c>
      <c r="O98" s="281"/>
    </row>
    <row r="99" spans="1:15" ht="14" customHeight="1" x14ac:dyDescent="0.15">
      <c r="A99" s="13"/>
      <c r="B99" s="2916">
        <v>9.6</v>
      </c>
      <c r="C99" s="2910">
        <v>2.32E-3</v>
      </c>
      <c r="D99" s="2751">
        <v>0.55298536000000098</v>
      </c>
      <c r="E99" s="2750">
        <v>0.31646439999999398</v>
      </c>
      <c r="F99" s="1955">
        <v>0.98462670719999501</v>
      </c>
      <c r="G99" s="2754">
        <v>0.45357492000001698</v>
      </c>
      <c r="H99" s="2915">
        <v>4.0211239599999997</v>
      </c>
      <c r="I99" s="407">
        <v>8.0763193599999994</v>
      </c>
      <c r="J99" s="1479">
        <v>17.384907559999998</v>
      </c>
      <c r="K99" s="2755">
        <v>28.805067879999999</v>
      </c>
      <c r="L99" s="1399">
        <v>29.377359999999999</v>
      </c>
      <c r="M99" s="2916">
        <v>9.6</v>
      </c>
      <c r="N99" s="2597">
        <v>128.9800815472</v>
      </c>
      <c r="O99" s="281"/>
    </row>
    <row r="100" spans="1:15" ht="14" customHeight="1" x14ac:dyDescent="0.15">
      <c r="A100" s="13"/>
      <c r="B100" s="2916">
        <v>9.6999999999999993</v>
      </c>
      <c r="C100" s="2910">
        <v>2.3149999999999998E-3</v>
      </c>
      <c r="D100" s="2751">
        <v>0.54327852000000099</v>
      </c>
      <c r="E100" s="2750">
        <v>0.30161579999999399</v>
      </c>
      <c r="F100" s="1955">
        <v>0.98429250319999495</v>
      </c>
      <c r="G100" s="2754">
        <v>0.43034119000001703</v>
      </c>
      <c r="H100" s="2753">
        <v>3.9955929700000001</v>
      </c>
      <c r="I100" s="407">
        <v>8.0447395199999896</v>
      </c>
      <c r="J100" s="1479">
        <v>17.34592967</v>
      </c>
      <c r="K100" s="2755">
        <v>28.778043660000002</v>
      </c>
      <c r="L100" s="1399">
        <v>29.158519999999999</v>
      </c>
      <c r="M100" s="2916">
        <v>9.6999999999999993</v>
      </c>
      <c r="N100" s="2597">
        <v>128.59000023319999</v>
      </c>
      <c r="O100" s="281"/>
    </row>
    <row r="101" spans="1:15" ht="14" customHeight="1" x14ac:dyDescent="0.15">
      <c r="A101" s="13"/>
      <c r="B101" s="2916">
        <v>9.8000000000000007</v>
      </c>
      <c r="C101" s="2910">
        <v>2.31E-3</v>
      </c>
      <c r="D101" s="2751">
        <v>0.53357168000000099</v>
      </c>
      <c r="E101" s="2750">
        <v>0.286767199999994</v>
      </c>
      <c r="F101" s="1955">
        <v>0.983958299199995</v>
      </c>
      <c r="G101" s="2754">
        <v>0.40710746000001702</v>
      </c>
      <c r="H101" s="2915">
        <v>3.9700619800000001</v>
      </c>
      <c r="I101" s="407">
        <v>8.0131596799999905</v>
      </c>
      <c r="J101" s="1479">
        <v>17.306951779999999</v>
      </c>
      <c r="K101" s="2755">
        <v>28.75101944</v>
      </c>
      <c r="L101" s="1399">
        <v>28.939679999999999</v>
      </c>
      <c r="M101" s="2916">
        <v>9.8000000000000007</v>
      </c>
      <c r="N101" s="2597">
        <v>128.1999189192</v>
      </c>
      <c r="O101" s="281"/>
    </row>
    <row r="102" spans="1:15" ht="14" customHeight="1" x14ac:dyDescent="0.15">
      <c r="A102" s="13"/>
      <c r="B102" s="2916">
        <v>9.9</v>
      </c>
      <c r="C102" s="2910">
        <v>2.3050000000000002E-3</v>
      </c>
      <c r="D102" s="2751">
        <v>0.523864840000001</v>
      </c>
      <c r="E102" s="2750">
        <v>0.27191859999999402</v>
      </c>
      <c r="F102" s="1955">
        <v>0.98362409519999505</v>
      </c>
      <c r="G102" s="2754">
        <v>0.38387373000001701</v>
      </c>
      <c r="H102" s="2753">
        <v>3.9445309900000001</v>
      </c>
      <c r="I102" s="407">
        <v>7.9815798400000002</v>
      </c>
      <c r="J102" s="1479">
        <v>17.26797389</v>
      </c>
      <c r="K102" s="2755">
        <v>28.723995219999999</v>
      </c>
      <c r="L102" s="1399">
        <v>28.720839999999999</v>
      </c>
      <c r="M102" s="2916">
        <v>9.9</v>
      </c>
      <c r="N102" s="2597">
        <v>127.8098376052</v>
      </c>
      <c r="O102" s="281"/>
    </row>
    <row r="103" spans="1:15" s="2930" customFormat="1" ht="16" customHeight="1" x14ac:dyDescent="0.15">
      <c r="A103" s="2920"/>
      <c r="B103" s="2914">
        <v>10</v>
      </c>
      <c r="C103" s="2921">
        <v>2.3E-3</v>
      </c>
      <c r="D103" s="2922">
        <v>0.514158000000001</v>
      </c>
      <c r="E103" s="1660">
        <v>0.25706999999999403</v>
      </c>
      <c r="F103" s="2923">
        <v>0.98328989119999499</v>
      </c>
      <c r="G103" s="2924">
        <v>0.360640000000017</v>
      </c>
      <c r="H103" s="2915">
        <v>3.919</v>
      </c>
      <c r="I103" s="955">
        <v>7.95</v>
      </c>
      <c r="J103" s="2925">
        <v>17.228995999999999</v>
      </c>
      <c r="K103" s="2926">
        <v>28.696971000000001</v>
      </c>
      <c r="L103" s="2927">
        <v>28.501999999999999</v>
      </c>
      <c r="M103" s="2914">
        <v>10</v>
      </c>
      <c r="N103" s="2928">
        <v>127.4197562912</v>
      </c>
      <c r="O103" s="2929"/>
    </row>
    <row r="104" spans="1:15" s="1704" customFormat="1" ht="28" customHeight="1" x14ac:dyDescent="0.15">
      <c r="A104" s="13"/>
      <c r="B104" s="2752"/>
      <c r="C104" s="1165" t="s">
        <v>9</v>
      </c>
      <c r="D104" s="2758" t="s">
        <v>10</v>
      </c>
      <c r="E104" s="2757" t="s">
        <v>11</v>
      </c>
      <c r="F104" s="2919" t="s">
        <v>12</v>
      </c>
      <c r="G104" s="2756" t="s">
        <v>13</v>
      </c>
      <c r="H104" s="1180" t="s">
        <v>14</v>
      </c>
      <c r="I104" s="1183" t="s">
        <v>15</v>
      </c>
      <c r="J104" s="1187" t="s">
        <v>16</v>
      </c>
      <c r="K104" s="1408" t="s">
        <v>17</v>
      </c>
      <c r="L104" s="1191" t="s">
        <v>18</v>
      </c>
      <c r="M104" s="2917"/>
      <c r="N104" s="2913" t="s">
        <v>332</v>
      </c>
      <c r="O104" s="281"/>
    </row>
    <row r="105" spans="1:15" s="1704" customFormat="1" ht="13" customHeight="1" x14ac:dyDescent="0.15">
      <c r="A105" s="1194"/>
      <c r="B105" s="1194"/>
      <c r="C105" s="1194"/>
      <c r="D105" s="1194"/>
      <c r="E105" s="1194"/>
      <c r="F105" s="1194"/>
      <c r="G105" s="1194"/>
      <c r="H105" s="1194"/>
      <c r="I105" s="1194"/>
      <c r="J105" s="1194"/>
      <c r="K105" s="1194"/>
      <c r="L105" s="1194"/>
      <c r="M105" s="1194"/>
      <c r="N105" s="1194"/>
      <c r="O105" s="1194"/>
    </row>
    <row r="107" spans="1:15" ht="13" customHeight="1" x14ac:dyDescent="0.15">
      <c r="O107"/>
    </row>
    <row r="108" spans="1:15" ht="13" customHeight="1" x14ac:dyDescent="0.15">
      <c r="O108"/>
    </row>
    <row r="109" spans="1:15" ht="13" customHeight="1" x14ac:dyDescent="0.15">
      <c r="O109"/>
    </row>
    <row r="110" spans="1:15" ht="13" customHeight="1" x14ac:dyDescent="0.15">
      <c r="O110"/>
    </row>
    <row r="111" spans="1:15" ht="13" customHeight="1" x14ac:dyDescent="0.15">
      <c r="O111" s="2911"/>
    </row>
  </sheetData>
  <pageMargins left="0.74791700000000005" right="0.74791700000000005" top="0.98402800000000001" bottom="0.98402800000000001" header="0.49236099999999999" footer="0.49236099999999999"/>
  <pageSetup orientation="portrait"/>
  <headerFooter>
    <oddHeader>&amp;C&amp;"Arial,Regular"&amp;10&amp;K000000DG</oddHeader>
    <oddFooter>&amp;C&amp;"Arial,Regular"&amp;10&amp;K000000Page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88"/>
  <sheetViews>
    <sheetView showGridLines="0" topLeftCell="A2" zoomScale="90" zoomScaleNormal="90" workbookViewId="0">
      <selection activeCell="AM1" activeCellId="9" sqref="I1:I1048576 K1:M1048576 P1:P1048576 R1:T1048576 W1:W1048576 Y1:AA1048576 AD1:AD1048576 AF1:AH1048576 AK1:AK1048576 AM1:AO1048576"/>
    </sheetView>
  </sheetViews>
  <sheetFormatPr baseColWidth="10" defaultColWidth="8.83203125" defaultRowHeight="16" customHeight="1" x14ac:dyDescent="0.15"/>
  <cols>
    <col min="1" max="1" width="11" style="112" customWidth="1"/>
    <col min="2" max="2" width="5.83203125" style="112" customWidth="1"/>
    <col min="3" max="6" width="5.1640625" style="112" customWidth="1"/>
    <col min="7" max="7" width="2" style="112" customWidth="1"/>
    <col min="8" max="8" width="12.6640625" style="112" customWidth="1"/>
    <col min="9" max="9" width="7.5" style="112" hidden="1" customWidth="1"/>
    <col min="10" max="10" width="7.5" style="112" customWidth="1"/>
    <col min="11" max="13" width="7.5" style="112" hidden="1" customWidth="1"/>
    <col min="14" max="14" width="1.83203125" style="112" customWidth="1"/>
    <col min="15" max="15" width="12.6640625" style="112" customWidth="1"/>
    <col min="16" max="16" width="7.5" style="112" hidden="1" customWidth="1"/>
    <col min="17" max="17" width="7.5" style="112" customWidth="1"/>
    <col min="18" max="20" width="7.5" style="112" hidden="1" customWidth="1"/>
    <col min="21" max="21" width="1.83203125" style="112" customWidth="1"/>
    <col min="22" max="22" width="12.6640625" style="112" customWidth="1"/>
    <col min="23" max="23" width="7.5" style="112" hidden="1" customWidth="1"/>
    <col min="24" max="24" width="7.5" style="112" customWidth="1"/>
    <col min="25" max="27" width="7.5" style="112" hidden="1" customWidth="1"/>
    <col min="28" max="28" width="1.83203125" style="112" customWidth="1"/>
    <col min="29" max="29" width="12.6640625" style="112" customWidth="1"/>
    <col min="30" max="30" width="7.5" style="112" hidden="1" customWidth="1"/>
    <col min="31" max="31" width="7.5" style="112" customWidth="1"/>
    <col min="32" max="34" width="7.5" style="112" hidden="1" customWidth="1"/>
    <col min="35" max="35" width="1.83203125" style="112" customWidth="1"/>
    <col min="36" max="36" width="12.6640625" style="112" customWidth="1"/>
    <col min="37" max="37" width="7.5" style="112" hidden="1" customWidth="1"/>
    <col min="38" max="38" width="7.5" style="112" customWidth="1"/>
    <col min="39" max="41" width="7.5" style="112" hidden="1" customWidth="1"/>
    <col min="42" max="42" width="3.5" style="112" customWidth="1"/>
    <col min="43" max="43" width="4.6640625" style="112" customWidth="1"/>
    <col min="44" max="47" width="4.83203125" style="112" customWidth="1"/>
    <col min="48" max="48" width="4.1640625" style="112" customWidth="1"/>
    <col min="49" max="49" width="5.33203125" style="112" customWidth="1"/>
    <col min="50" max="53" width="16.1640625" style="112" customWidth="1"/>
    <col min="54" max="54" width="15.33203125" style="112" customWidth="1"/>
    <col min="55" max="55" width="10.83203125" style="112" customWidth="1"/>
    <col min="56" max="56" width="5.1640625" style="112" customWidth="1"/>
    <col min="57" max="57" width="16.1640625" style="112" customWidth="1"/>
    <col min="58" max="58" width="5.1640625" style="112" customWidth="1"/>
    <col min="59" max="59" width="16.1640625" style="112" customWidth="1"/>
    <col min="60" max="60" width="5.1640625" style="112" customWidth="1"/>
    <col min="61" max="61" width="16.1640625" style="112" customWidth="1"/>
    <col min="62" max="62" width="5.1640625" style="112" customWidth="1"/>
    <col min="63" max="63" width="16.1640625" style="1194" customWidth="1"/>
    <col min="64" max="256" width="8.83203125" customWidth="1"/>
  </cols>
  <sheetData>
    <row r="1" spans="1:63" ht="24" customHeight="1" x14ac:dyDescent="0.2">
      <c r="A1" s="2"/>
      <c r="B1" s="113"/>
      <c r="C1" s="113"/>
      <c r="D1" s="113"/>
      <c r="E1" s="113"/>
      <c r="F1" s="113"/>
      <c r="G1" s="27"/>
      <c r="H1" s="27"/>
      <c r="I1" s="27"/>
      <c r="J1" s="27"/>
      <c r="K1" s="27"/>
      <c r="L1" s="27"/>
      <c r="M1" s="114"/>
      <c r="N1" s="115"/>
      <c r="O1" s="116"/>
      <c r="P1" s="27"/>
      <c r="Q1" s="27"/>
      <c r="R1" s="27"/>
      <c r="S1" s="27"/>
      <c r="T1" s="117"/>
      <c r="U1" s="27"/>
      <c r="V1" s="116"/>
      <c r="W1" s="27"/>
      <c r="X1" s="27"/>
      <c r="Y1" s="27"/>
      <c r="Z1" s="27"/>
      <c r="AA1" s="117"/>
      <c r="AB1" s="27"/>
      <c r="AC1" s="116"/>
      <c r="AD1" s="27"/>
      <c r="AE1" s="27"/>
      <c r="AF1" s="27"/>
      <c r="AG1" s="27"/>
      <c r="AH1" s="117"/>
      <c r="AI1" s="27"/>
      <c r="AJ1" s="116"/>
      <c r="AK1" s="27"/>
      <c r="AL1" s="27"/>
      <c r="AM1" s="27"/>
      <c r="AN1" s="27"/>
      <c r="AO1" s="118"/>
      <c r="AP1" s="119"/>
      <c r="AQ1" s="119"/>
      <c r="AR1" s="120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40"/>
    </row>
    <row r="2" spans="1:63" ht="26" customHeight="1" x14ac:dyDescent="0.35">
      <c r="A2" s="13"/>
      <c r="B2" s="40"/>
      <c r="C2" s="40"/>
      <c r="D2" s="40"/>
      <c r="E2" s="40"/>
      <c r="F2" s="40"/>
      <c r="G2" s="40"/>
      <c r="H2" s="2839" t="s">
        <v>48</v>
      </c>
      <c r="I2" s="2840"/>
      <c r="J2" s="2840"/>
      <c r="K2" s="2840"/>
      <c r="L2" s="2840"/>
      <c r="M2" s="2840"/>
      <c r="N2" s="121"/>
      <c r="O2" s="2836" t="s">
        <v>49</v>
      </c>
      <c r="P2" s="2837"/>
      <c r="Q2" s="2838"/>
      <c r="R2" s="2838"/>
      <c r="S2" s="2838"/>
      <c r="T2" s="2838"/>
      <c r="U2" s="121"/>
      <c r="V2" s="2834" t="s">
        <v>50</v>
      </c>
      <c r="W2" s="2835"/>
      <c r="X2" s="2835"/>
      <c r="Y2" s="2835"/>
      <c r="Z2" s="2835"/>
      <c r="AA2" s="2835"/>
      <c r="AB2" s="121"/>
      <c r="AC2" s="2841" t="s">
        <v>51</v>
      </c>
      <c r="AD2" s="2842"/>
      <c r="AE2" s="2842"/>
      <c r="AF2" s="2842"/>
      <c r="AG2" s="2842"/>
      <c r="AH2" s="2842"/>
      <c r="AI2" s="121"/>
      <c r="AJ2" s="2832" t="s">
        <v>52</v>
      </c>
      <c r="AK2" s="2833"/>
      <c r="AL2" s="2833"/>
      <c r="AM2" s="2833"/>
      <c r="AN2" s="2833"/>
      <c r="AO2" s="2833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122"/>
      <c r="BE2" s="40"/>
      <c r="BF2" s="40"/>
      <c r="BG2" s="40"/>
      <c r="BH2" s="40"/>
      <c r="BI2" s="40"/>
      <c r="BJ2" s="40"/>
      <c r="BK2" s="40"/>
    </row>
    <row r="3" spans="1:63" ht="20" customHeight="1" x14ac:dyDescent="0.2">
      <c r="A3" s="13"/>
      <c r="B3" s="123" t="s">
        <v>53</v>
      </c>
      <c r="C3" s="124" t="s">
        <v>44</v>
      </c>
      <c r="D3" s="124" t="s">
        <v>42</v>
      </c>
      <c r="E3" s="124" t="s">
        <v>40</v>
      </c>
      <c r="F3" s="124" t="s">
        <v>38</v>
      </c>
      <c r="G3" s="125"/>
      <c r="H3" s="1438" t="s">
        <v>53</v>
      </c>
      <c r="I3" s="1434" t="s">
        <v>54</v>
      </c>
      <c r="J3" s="1434" t="s">
        <v>55</v>
      </c>
      <c r="K3" s="1434" t="s">
        <v>56</v>
      </c>
      <c r="L3" s="1434" t="s">
        <v>57</v>
      </c>
      <c r="M3" s="1439" t="s">
        <v>58</v>
      </c>
      <c r="N3" s="129"/>
      <c r="O3" s="130" t="s">
        <v>53</v>
      </c>
      <c r="P3" s="127" t="s">
        <v>59</v>
      </c>
      <c r="Q3" s="131" t="s">
        <v>60</v>
      </c>
      <c r="R3" s="132" t="s">
        <v>56</v>
      </c>
      <c r="S3" s="132" t="s">
        <v>57</v>
      </c>
      <c r="T3" s="132" t="s">
        <v>58</v>
      </c>
      <c r="U3" s="133"/>
      <c r="V3" s="126" t="s">
        <v>53</v>
      </c>
      <c r="W3" s="127" t="s">
        <v>54</v>
      </c>
      <c r="X3" s="127" t="s">
        <v>60</v>
      </c>
      <c r="Y3" s="127" t="s">
        <v>56</v>
      </c>
      <c r="Z3" s="127" t="s">
        <v>57</v>
      </c>
      <c r="AA3" s="128" t="s">
        <v>58</v>
      </c>
      <c r="AB3" s="134"/>
      <c r="AC3" s="126" t="s">
        <v>53</v>
      </c>
      <c r="AD3" s="127" t="s">
        <v>54</v>
      </c>
      <c r="AE3" s="127" t="s">
        <v>60</v>
      </c>
      <c r="AF3" s="127" t="s">
        <v>56</v>
      </c>
      <c r="AG3" s="127" t="s">
        <v>57</v>
      </c>
      <c r="AH3" s="128" t="s">
        <v>58</v>
      </c>
      <c r="AI3" s="135"/>
      <c r="AJ3" s="126" t="s">
        <v>53</v>
      </c>
      <c r="AK3" s="127" t="s">
        <v>54</v>
      </c>
      <c r="AL3" s="127" t="s">
        <v>60</v>
      </c>
      <c r="AM3" s="127" t="s">
        <v>56</v>
      </c>
      <c r="AN3" s="127" t="s">
        <v>57</v>
      </c>
      <c r="AO3" s="128" t="s">
        <v>58</v>
      </c>
      <c r="AP3" s="129"/>
      <c r="AQ3" s="123" t="s">
        <v>53</v>
      </c>
      <c r="AR3" s="124" t="s">
        <v>44</v>
      </c>
      <c r="AS3" s="124" t="s">
        <v>42</v>
      </c>
      <c r="AT3" s="124" t="s">
        <v>40</v>
      </c>
      <c r="AU3" s="124" t="s">
        <v>38</v>
      </c>
      <c r="AV3" s="40"/>
      <c r="AW3" s="40"/>
      <c r="AX3" s="2830" t="s">
        <v>61</v>
      </c>
      <c r="AY3" s="2831"/>
      <c r="AZ3" s="2831"/>
      <c r="BA3" s="2831"/>
      <c r="BB3" s="2831"/>
      <c r="BC3" s="136"/>
      <c r="BD3" s="40"/>
      <c r="BE3" s="40"/>
      <c r="BF3" s="40"/>
      <c r="BG3" s="40"/>
      <c r="BH3" s="40"/>
      <c r="BI3" s="40"/>
      <c r="BJ3" s="40"/>
      <c r="BK3" s="40"/>
    </row>
    <row r="4" spans="1:63" ht="23" customHeight="1" x14ac:dyDescent="0.3">
      <c r="A4" s="13"/>
      <c r="B4" s="2097" t="s">
        <v>10</v>
      </c>
      <c r="C4" s="2101"/>
      <c r="D4" s="2101"/>
      <c r="E4" s="2101"/>
      <c r="F4" s="2101"/>
      <c r="G4" s="40"/>
      <c r="H4" s="2011" t="s">
        <v>62</v>
      </c>
      <c r="I4" s="1453" t="s">
        <v>105</v>
      </c>
      <c r="J4" s="1452" t="s">
        <v>106</v>
      </c>
      <c r="K4" s="1455" t="s">
        <v>63</v>
      </c>
      <c r="L4" s="1451" t="s">
        <v>68</v>
      </c>
      <c r="M4" s="1441"/>
      <c r="N4" s="1435"/>
      <c r="O4" s="1998" t="s">
        <v>64</v>
      </c>
      <c r="P4" s="1451" t="s">
        <v>68</v>
      </c>
      <c r="Q4" s="1451" t="s">
        <v>68</v>
      </c>
      <c r="R4" s="1451" t="s">
        <v>68</v>
      </c>
      <c r="S4" s="1455" t="s">
        <v>63</v>
      </c>
      <c r="T4" s="140"/>
      <c r="U4" s="139"/>
      <c r="V4" s="1998" t="s">
        <v>65</v>
      </c>
      <c r="W4" s="1451" t="s">
        <v>68</v>
      </c>
      <c r="X4" s="1451" t="s">
        <v>68</v>
      </c>
      <c r="Y4" s="1451" t="s">
        <v>68</v>
      </c>
      <c r="Z4" s="1451" t="s">
        <v>68</v>
      </c>
      <c r="AA4" s="141"/>
      <c r="AB4" s="142"/>
      <c r="AC4" s="1996" t="s">
        <v>66</v>
      </c>
      <c r="AD4" s="1455" t="s">
        <v>63</v>
      </c>
      <c r="AE4" s="1453" t="s">
        <v>72</v>
      </c>
      <c r="AF4" s="1453" t="s">
        <v>72</v>
      </c>
      <c r="AG4" s="1455" t="s">
        <v>63</v>
      </c>
      <c r="AH4" s="143"/>
      <c r="AI4" s="144"/>
      <c r="AJ4" s="2010" t="s">
        <v>67</v>
      </c>
      <c r="AK4" s="1455" t="s">
        <v>63</v>
      </c>
      <c r="AL4" s="1455" t="s">
        <v>63</v>
      </c>
      <c r="AM4" s="1455" t="s">
        <v>63</v>
      </c>
      <c r="AN4" s="1453" t="s">
        <v>107</v>
      </c>
      <c r="AO4" s="145"/>
      <c r="AP4" s="146" t="s">
        <v>41</v>
      </c>
      <c r="AQ4" s="2097" t="s">
        <v>10</v>
      </c>
      <c r="AR4" s="2101"/>
      <c r="AS4" s="2101"/>
      <c r="AT4" s="2101"/>
      <c r="AU4" s="2101"/>
      <c r="AV4" s="40"/>
      <c r="AW4" s="147"/>
      <c r="AX4" s="148" t="s">
        <v>68</v>
      </c>
      <c r="AY4" s="149" t="s">
        <v>69</v>
      </c>
      <c r="AZ4" s="149" t="s">
        <v>70</v>
      </c>
      <c r="BA4" s="150" t="s">
        <v>71</v>
      </c>
      <c r="BB4" s="150" t="s">
        <v>72</v>
      </c>
      <c r="BC4" s="151"/>
      <c r="BD4" s="40"/>
      <c r="BE4" s="40"/>
      <c r="BF4" s="40"/>
      <c r="BG4" s="40"/>
      <c r="BH4" s="40"/>
      <c r="BI4" s="40"/>
      <c r="BJ4" s="40"/>
      <c r="BK4" s="40"/>
    </row>
    <row r="5" spans="1:63" ht="15" customHeight="1" x14ac:dyDescent="0.2">
      <c r="A5" s="13"/>
      <c r="B5" s="620" t="s">
        <v>18</v>
      </c>
      <c r="C5" s="621"/>
      <c r="D5" s="621"/>
      <c r="E5" s="621"/>
      <c r="F5" s="621"/>
      <c r="G5" s="40"/>
      <c r="H5" s="1442" t="s">
        <v>73</v>
      </c>
      <c r="I5" s="153">
        <f>Aspects!D12</f>
        <v>116.72700000000003</v>
      </c>
      <c r="J5" s="153">
        <f>Aspects!D11</f>
        <v>96.74775697941898</v>
      </c>
      <c r="K5" s="153">
        <f>Aspects!D10</f>
        <v>100.464295728602</v>
      </c>
      <c r="L5" s="153">
        <f>Aspects!D9</f>
        <v>1.0908885919150038</v>
      </c>
      <c r="M5" s="1443"/>
      <c r="N5" s="1436"/>
      <c r="O5" s="152" t="s">
        <v>73</v>
      </c>
      <c r="P5" s="153">
        <f>Aspects!G27</f>
        <v>10.388000000000005</v>
      </c>
      <c r="Q5" s="153">
        <f>Aspects!G26</f>
        <v>14.111999953914989</v>
      </c>
      <c r="R5" s="153">
        <f>Aspects!G25</f>
        <v>13.993499695742997</v>
      </c>
      <c r="S5" s="153">
        <f>Aspects!G24</f>
        <v>156.85875399693001</v>
      </c>
      <c r="T5" s="154"/>
      <c r="U5" s="155"/>
      <c r="V5" s="152" t="s">
        <v>73</v>
      </c>
      <c r="W5" s="153">
        <f>Aspects!F17</f>
        <v>0.58499999999999375</v>
      </c>
      <c r="X5" s="153">
        <f>Aspects!F16</f>
        <v>0.62740990773301064</v>
      </c>
      <c r="Y5" s="153">
        <f>Aspects!F15</f>
        <v>0.57723978155399891</v>
      </c>
      <c r="Z5" s="153">
        <f>Aspects!F14</f>
        <v>1.2349336323879996</v>
      </c>
      <c r="AA5" s="154"/>
      <c r="AB5" s="156"/>
      <c r="AC5" s="152" t="s">
        <v>73</v>
      </c>
      <c r="AD5" s="153">
        <f>Aspects!H32</f>
        <v>22.603000000000002</v>
      </c>
      <c r="AE5" s="153">
        <f>Aspects!H31</f>
        <v>28.143119722153983</v>
      </c>
      <c r="AF5" s="153">
        <f>Aspects!H30</f>
        <v>28.816161546291994</v>
      </c>
      <c r="AG5" s="153">
        <f>Aspects!H29</f>
        <v>40.631527452678</v>
      </c>
      <c r="AH5" s="154"/>
      <c r="AI5" s="156"/>
      <c r="AJ5" s="152" t="s">
        <v>73</v>
      </c>
      <c r="AK5" s="153">
        <f>Aspects!L47</f>
        <v>27.950000000000003</v>
      </c>
      <c r="AL5" s="153">
        <f>Aspects!L46</f>
        <v>54.605818156373005</v>
      </c>
      <c r="AM5" s="153">
        <f>Aspects!L45</f>
        <v>53.918551652526986</v>
      </c>
      <c r="AN5" s="153">
        <f>Aspects!L44</f>
        <v>56.165009596444008</v>
      </c>
      <c r="AO5" s="157"/>
      <c r="AP5" s="158" t="s">
        <v>74</v>
      </c>
      <c r="AQ5" s="620" t="s">
        <v>18</v>
      </c>
      <c r="AR5" s="621"/>
      <c r="AS5" s="621"/>
      <c r="AT5" s="621"/>
      <c r="AU5" s="621"/>
      <c r="AV5" s="40"/>
      <c r="AW5" s="147"/>
      <c r="AX5" s="159">
        <v>1</v>
      </c>
      <c r="AY5" s="159">
        <v>1.2</v>
      </c>
      <c r="AZ5" s="159">
        <v>1.4</v>
      </c>
      <c r="BA5" s="159">
        <v>1.6</v>
      </c>
      <c r="BB5" s="159">
        <v>1.8</v>
      </c>
      <c r="BC5" s="151"/>
      <c r="BD5" s="40"/>
      <c r="BE5" s="40"/>
      <c r="BF5" s="40"/>
      <c r="BG5" s="40"/>
      <c r="BH5" s="40"/>
      <c r="BI5" s="40"/>
      <c r="BJ5" s="40"/>
      <c r="BK5" s="40"/>
    </row>
    <row r="6" spans="1:63" ht="15" customHeight="1" x14ac:dyDescent="0.2">
      <c r="A6" s="13"/>
      <c r="B6" s="672" t="s">
        <v>16</v>
      </c>
      <c r="C6" s="673"/>
      <c r="D6" s="673"/>
      <c r="E6" s="673"/>
      <c r="F6" s="673"/>
      <c r="G6" s="40"/>
      <c r="H6" s="1444" t="s">
        <v>75</v>
      </c>
      <c r="I6" s="161">
        <f>120-I5</f>
        <v>3.2729999999999677</v>
      </c>
      <c r="J6" s="161">
        <f>J5-90</f>
        <v>6.7477569794189804</v>
      </c>
      <c r="K6" s="161"/>
      <c r="L6" s="161">
        <f>L5</f>
        <v>1.0908885919150038</v>
      </c>
      <c r="M6" s="1445"/>
      <c r="N6" s="1436"/>
      <c r="O6" s="160" t="s">
        <v>75</v>
      </c>
      <c r="P6" s="161">
        <f>P5</f>
        <v>10.388000000000005</v>
      </c>
      <c r="Q6" s="161">
        <f>Q5</f>
        <v>14.111999953914989</v>
      </c>
      <c r="R6" s="161">
        <f>R5</f>
        <v>13.993499695742997</v>
      </c>
      <c r="S6" s="161"/>
      <c r="T6" s="162"/>
      <c r="U6" s="155"/>
      <c r="V6" s="160" t="s">
        <v>75</v>
      </c>
      <c r="W6" s="161">
        <f>W5</f>
        <v>0.58499999999999375</v>
      </c>
      <c r="X6" s="161">
        <f>X5</f>
        <v>0.62740990773301064</v>
      </c>
      <c r="Y6" s="161">
        <f>Y5</f>
        <v>0.57723978155399891</v>
      </c>
      <c r="Z6" s="161">
        <f>Z5</f>
        <v>1.2349336323879996</v>
      </c>
      <c r="AA6" s="162"/>
      <c r="AB6" s="156"/>
      <c r="AC6" s="160" t="s">
        <v>75</v>
      </c>
      <c r="AD6" s="161"/>
      <c r="AE6" s="161">
        <f>30-AE5</f>
        <v>1.8568802778460167</v>
      </c>
      <c r="AF6" s="161">
        <f>30-AF5</f>
        <v>1.183838453708006</v>
      </c>
      <c r="AG6" s="161"/>
      <c r="AH6" s="162"/>
      <c r="AI6" s="156"/>
      <c r="AJ6" s="160" t="s">
        <v>75</v>
      </c>
      <c r="AK6" s="161"/>
      <c r="AL6" s="161"/>
      <c r="AM6" s="161"/>
      <c r="AN6" s="161">
        <f>60-AN5</f>
        <v>3.8349904035559916</v>
      </c>
      <c r="AO6" s="163"/>
      <c r="AP6" s="164"/>
      <c r="AQ6" s="672" t="s">
        <v>16</v>
      </c>
      <c r="AR6" s="673"/>
      <c r="AS6" s="673"/>
      <c r="AT6" s="673"/>
      <c r="AU6" s="673"/>
      <c r="AV6" s="40"/>
      <c r="AW6" s="147"/>
      <c r="AX6" s="159"/>
      <c r="AY6" s="159"/>
      <c r="AZ6" s="159"/>
      <c r="BA6" s="159"/>
      <c r="BB6" s="159"/>
      <c r="BC6" s="151"/>
      <c r="BD6" s="40"/>
      <c r="BE6" s="40"/>
      <c r="BF6" s="40"/>
      <c r="BG6" s="40"/>
      <c r="BH6" s="40"/>
      <c r="BI6" s="40"/>
      <c r="BJ6" s="40"/>
      <c r="BK6" s="40"/>
    </row>
    <row r="7" spans="1:63" ht="15" customHeight="1" x14ac:dyDescent="0.15">
      <c r="A7" s="13"/>
      <c r="B7" s="659" t="s">
        <v>11</v>
      </c>
      <c r="C7" s="660"/>
      <c r="D7" s="660"/>
      <c r="E7" s="660"/>
      <c r="F7" s="660"/>
      <c r="G7" s="40"/>
      <c r="H7" s="1446" t="s">
        <v>76</v>
      </c>
      <c r="I7" s="166">
        <f>C4+C12</f>
        <v>0</v>
      </c>
      <c r="J7" s="166"/>
      <c r="K7" s="166"/>
      <c r="L7" s="166"/>
      <c r="M7" s="1447"/>
      <c r="N7" s="1437"/>
      <c r="O7" s="165" t="s">
        <v>76</v>
      </c>
      <c r="P7" s="166"/>
      <c r="Q7" s="166"/>
      <c r="R7" s="166"/>
      <c r="S7" s="166"/>
      <c r="T7" s="167"/>
      <c r="U7" s="168"/>
      <c r="V7" s="165" t="s">
        <v>76</v>
      </c>
      <c r="W7" s="166"/>
      <c r="X7" s="166"/>
      <c r="Y7" s="166"/>
      <c r="Z7" s="166"/>
      <c r="AA7" s="167"/>
      <c r="AB7" s="169"/>
      <c r="AC7" s="165" t="s">
        <v>76</v>
      </c>
      <c r="AD7" s="166"/>
      <c r="AE7" s="166"/>
      <c r="AF7" s="166"/>
      <c r="AG7" s="166"/>
      <c r="AH7" s="167"/>
      <c r="AI7" s="169"/>
      <c r="AJ7" s="165" t="s">
        <v>76</v>
      </c>
      <c r="AK7" s="166"/>
      <c r="AL7" s="166"/>
      <c r="AM7" s="166"/>
      <c r="AN7" s="166"/>
      <c r="AO7" s="170"/>
      <c r="AP7" s="171"/>
      <c r="AQ7" s="659" t="s">
        <v>11</v>
      </c>
      <c r="AR7" s="660"/>
      <c r="AS7" s="660"/>
      <c r="AT7" s="660"/>
      <c r="AU7" s="660"/>
      <c r="AV7" s="40"/>
      <c r="AW7" s="147"/>
      <c r="AX7" s="172" t="s">
        <v>77</v>
      </c>
      <c r="AY7" s="172" t="s">
        <v>77</v>
      </c>
      <c r="AZ7" s="172" t="s">
        <v>78</v>
      </c>
      <c r="BA7" s="172" t="s">
        <v>79</v>
      </c>
      <c r="BB7" s="172" t="s">
        <v>79</v>
      </c>
      <c r="BC7" s="151"/>
      <c r="BD7" s="40"/>
      <c r="BE7" s="40"/>
      <c r="BF7" s="40"/>
      <c r="BG7" s="40"/>
      <c r="BH7" s="40"/>
      <c r="BI7" s="40"/>
      <c r="BJ7" s="40"/>
      <c r="BK7" s="40"/>
    </row>
    <row r="8" spans="1:63" ht="15" customHeight="1" x14ac:dyDescent="0.25">
      <c r="A8" s="13"/>
      <c r="B8" s="2100" t="s">
        <v>179</v>
      </c>
      <c r="C8" s="2104"/>
      <c r="D8" s="2104"/>
      <c r="E8" s="2104"/>
      <c r="F8" s="2104"/>
      <c r="G8" s="40"/>
      <c r="H8" s="1448" t="s">
        <v>80</v>
      </c>
      <c r="I8" s="1788">
        <v>1.2</v>
      </c>
      <c r="J8" s="1788"/>
      <c r="K8" s="1788"/>
      <c r="L8" s="1788"/>
      <c r="M8" s="1449"/>
      <c r="N8" s="137"/>
      <c r="O8" s="173" t="s">
        <v>80</v>
      </c>
      <c r="P8" s="1799"/>
      <c r="Q8" s="1799"/>
      <c r="R8" s="1799"/>
      <c r="S8" s="1799"/>
      <c r="T8" s="1801"/>
      <c r="U8" s="156"/>
      <c r="V8" s="173" t="s">
        <v>80</v>
      </c>
      <c r="W8" s="1788"/>
      <c r="X8" s="1788"/>
      <c r="Y8" s="1788"/>
      <c r="Z8" s="1788"/>
      <c r="AA8" s="1795"/>
      <c r="AB8" s="156"/>
      <c r="AC8" s="173" t="s">
        <v>80</v>
      </c>
      <c r="AD8" s="1800"/>
      <c r="AE8" s="1800"/>
      <c r="AF8" s="1800"/>
      <c r="AG8" s="1800"/>
      <c r="AH8" s="1801"/>
      <c r="AI8" s="156"/>
      <c r="AJ8" s="173" t="s">
        <v>80</v>
      </c>
      <c r="AK8" s="1788"/>
      <c r="AL8" s="1788"/>
      <c r="AM8" s="1788"/>
      <c r="AN8" s="1788"/>
      <c r="AO8" s="1806"/>
      <c r="AP8" s="176"/>
      <c r="AQ8" s="2100" t="s">
        <v>179</v>
      </c>
      <c r="AR8" s="2104"/>
      <c r="AS8" s="2104"/>
      <c r="AT8" s="2104"/>
      <c r="AU8" s="2104"/>
      <c r="AV8" s="40"/>
      <c r="AW8" s="147"/>
      <c r="AX8" s="177" t="s">
        <v>81</v>
      </c>
      <c r="AY8" s="177" t="s">
        <v>81</v>
      </c>
      <c r="AZ8" s="177" t="s">
        <v>82</v>
      </c>
      <c r="BA8" s="177" t="s">
        <v>83</v>
      </c>
      <c r="BB8" s="177" t="s">
        <v>84</v>
      </c>
      <c r="BC8" s="151"/>
      <c r="BD8" s="40"/>
      <c r="BE8" s="40"/>
      <c r="BF8" s="40"/>
      <c r="BG8" s="40"/>
      <c r="BH8" s="40"/>
      <c r="BI8" s="40"/>
      <c r="BJ8" s="40"/>
      <c r="BK8" s="40"/>
    </row>
    <row r="9" spans="1:63" ht="15" customHeight="1" x14ac:dyDescent="0.25">
      <c r="A9" s="13"/>
      <c r="B9" s="593" t="s">
        <v>15</v>
      </c>
      <c r="C9" s="594"/>
      <c r="D9" s="594"/>
      <c r="E9" s="594"/>
      <c r="F9" s="594"/>
      <c r="G9" s="40"/>
      <c r="H9" s="1448" t="s">
        <v>85</v>
      </c>
      <c r="I9" s="1788">
        <v>1.4</v>
      </c>
      <c r="J9" s="1788"/>
      <c r="K9" s="1788"/>
      <c r="L9" s="1788"/>
      <c r="M9" s="1449"/>
      <c r="N9" s="137"/>
      <c r="O9" s="173" t="s">
        <v>85</v>
      </c>
      <c r="P9" s="1799"/>
      <c r="Q9" s="1799"/>
      <c r="R9" s="1799"/>
      <c r="S9" s="1799"/>
      <c r="T9" s="1801"/>
      <c r="U9" s="156"/>
      <c r="V9" s="173" t="s">
        <v>85</v>
      </c>
      <c r="W9" s="1788"/>
      <c r="X9" s="1788"/>
      <c r="Y9" s="1788"/>
      <c r="Z9" s="1788"/>
      <c r="AA9" s="1795"/>
      <c r="AB9" s="156"/>
      <c r="AC9" s="173" t="s">
        <v>85</v>
      </c>
      <c r="AD9" s="1800"/>
      <c r="AE9" s="1800"/>
      <c r="AF9" s="1800"/>
      <c r="AG9" s="1800"/>
      <c r="AH9" s="1801"/>
      <c r="AI9" s="156"/>
      <c r="AJ9" s="173" t="s">
        <v>85</v>
      </c>
      <c r="AK9" s="1788"/>
      <c r="AL9" s="1788"/>
      <c r="AM9" s="1788"/>
      <c r="AN9" s="1788"/>
      <c r="AO9" s="1806"/>
      <c r="AP9" s="176"/>
      <c r="AQ9" s="593" t="s">
        <v>15</v>
      </c>
      <c r="AR9" s="594"/>
      <c r="AS9" s="594"/>
      <c r="AT9" s="594"/>
      <c r="AU9" s="594"/>
      <c r="AV9" s="40"/>
      <c r="AW9" s="147"/>
      <c r="AX9" s="177" t="s">
        <v>86</v>
      </c>
      <c r="AY9" s="177" t="s">
        <v>86</v>
      </c>
      <c r="AZ9" s="177" t="s">
        <v>87</v>
      </c>
      <c r="BA9" s="177" t="s">
        <v>88</v>
      </c>
      <c r="BB9" s="177" t="s">
        <v>89</v>
      </c>
      <c r="BC9" s="151"/>
      <c r="BD9" s="178"/>
      <c r="BE9" s="178"/>
      <c r="BF9" s="178"/>
      <c r="BG9" s="178"/>
      <c r="BH9" s="178"/>
      <c r="BI9" s="178"/>
      <c r="BJ9" s="178"/>
      <c r="BK9" s="178"/>
    </row>
    <row r="10" spans="1:63" ht="15" customHeight="1" x14ac:dyDescent="0.25">
      <c r="A10" s="13"/>
      <c r="B10" s="2098" t="s">
        <v>17</v>
      </c>
      <c r="C10" s="2102"/>
      <c r="D10" s="2102"/>
      <c r="E10" s="2102"/>
      <c r="F10" s="2102"/>
      <c r="G10" s="40"/>
      <c r="H10" s="1448" t="s">
        <v>90</v>
      </c>
      <c r="I10" s="1788">
        <v>1.4</v>
      </c>
      <c r="J10" s="1788"/>
      <c r="K10" s="1788"/>
      <c r="L10" s="1788"/>
      <c r="M10" s="1449"/>
      <c r="N10" s="137"/>
      <c r="O10" s="173" t="s">
        <v>90</v>
      </c>
      <c r="P10" s="1799"/>
      <c r="Q10" s="1799"/>
      <c r="R10" s="1799"/>
      <c r="S10" s="1799"/>
      <c r="T10" s="1801"/>
      <c r="U10" s="156"/>
      <c r="V10" s="173" t="s">
        <v>90</v>
      </c>
      <c r="W10" s="1788"/>
      <c r="X10" s="1788"/>
      <c r="Y10" s="1788"/>
      <c r="Z10" s="1788"/>
      <c r="AA10" s="1795"/>
      <c r="AB10" s="156"/>
      <c r="AC10" s="173" t="s">
        <v>90</v>
      </c>
      <c r="AD10" s="1800"/>
      <c r="AE10" s="1800"/>
      <c r="AF10" s="1800"/>
      <c r="AG10" s="1800"/>
      <c r="AH10" s="1801"/>
      <c r="AI10" s="156"/>
      <c r="AJ10" s="173" t="s">
        <v>90</v>
      </c>
      <c r="AK10" s="1788"/>
      <c r="AL10" s="1788"/>
      <c r="AM10" s="1788"/>
      <c r="AN10" s="1788"/>
      <c r="AO10" s="1806"/>
      <c r="AP10" s="176"/>
      <c r="AQ10" s="2098" t="s">
        <v>17</v>
      </c>
      <c r="AR10" s="2102"/>
      <c r="AS10" s="2102"/>
      <c r="AT10" s="2102"/>
      <c r="AU10" s="2102"/>
      <c r="AV10" s="40"/>
      <c r="AW10" s="147"/>
      <c r="AX10" s="177" t="s">
        <v>91</v>
      </c>
      <c r="AY10" s="177" t="s">
        <v>91</v>
      </c>
      <c r="AZ10" s="177" t="s">
        <v>92</v>
      </c>
      <c r="BA10" s="177" t="s">
        <v>93</v>
      </c>
      <c r="BB10" s="177" t="s">
        <v>94</v>
      </c>
      <c r="BC10" s="151"/>
      <c r="BD10" s="180"/>
      <c r="BE10" s="181"/>
      <c r="BF10" s="181"/>
      <c r="BG10" s="181"/>
      <c r="BH10" s="181"/>
      <c r="BI10" s="181"/>
      <c r="BJ10" s="181"/>
      <c r="BK10" s="181"/>
    </row>
    <row r="11" spans="1:63" ht="15" customHeight="1" x14ac:dyDescent="0.25">
      <c r="A11" s="13"/>
      <c r="B11" s="606" t="s">
        <v>14</v>
      </c>
      <c r="C11" s="607"/>
      <c r="D11" s="607"/>
      <c r="E11" s="607"/>
      <c r="F11" s="607"/>
      <c r="G11" s="40"/>
      <c r="H11" s="1448" t="s">
        <v>95</v>
      </c>
      <c r="I11" s="1788">
        <v>1</v>
      </c>
      <c r="J11" s="1788"/>
      <c r="K11" s="1788"/>
      <c r="L11" s="1788"/>
      <c r="M11" s="1449"/>
      <c r="N11" s="137"/>
      <c r="O11" s="173" t="s">
        <v>95</v>
      </c>
      <c r="P11" s="1799"/>
      <c r="Q11" s="1799"/>
      <c r="R11" s="1799"/>
      <c r="S11" s="1799"/>
      <c r="T11" s="1801"/>
      <c r="U11" s="156"/>
      <c r="V11" s="173" t="s">
        <v>95</v>
      </c>
      <c r="W11" s="1788"/>
      <c r="X11" s="1788"/>
      <c r="Y11" s="1788"/>
      <c r="Z11" s="1788"/>
      <c r="AA11" s="1795"/>
      <c r="AB11" s="156"/>
      <c r="AC11" s="173" t="s">
        <v>95</v>
      </c>
      <c r="AD11" s="1800"/>
      <c r="AE11" s="1800"/>
      <c r="AF11" s="1800"/>
      <c r="AG11" s="1800"/>
      <c r="AH11" s="1801"/>
      <c r="AI11" s="156"/>
      <c r="AJ11" s="173" t="s">
        <v>95</v>
      </c>
      <c r="AK11" s="1788"/>
      <c r="AL11" s="1788"/>
      <c r="AM11" s="1788"/>
      <c r="AN11" s="1788"/>
      <c r="AO11" s="1806"/>
      <c r="AP11" s="176"/>
      <c r="AQ11" s="606" t="s">
        <v>14</v>
      </c>
      <c r="AR11" s="607"/>
      <c r="AS11" s="607"/>
      <c r="AT11" s="607"/>
      <c r="AU11" s="607"/>
      <c r="AV11" s="40"/>
      <c r="AW11" s="147"/>
      <c r="AX11" s="182" t="s">
        <v>96</v>
      </c>
      <c r="AY11" s="182" t="s">
        <v>96</v>
      </c>
      <c r="AZ11" s="182" t="s">
        <v>97</v>
      </c>
      <c r="BA11" s="177" t="s">
        <v>98</v>
      </c>
      <c r="BB11" s="182" t="s">
        <v>99</v>
      </c>
      <c r="BC11" s="151"/>
      <c r="BD11" s="180"/>
      <c r="BE11" s="181"/>
      <c r="BF11" s="181"/>
      <c r="BG11" s="181"/>
      <c r="BH11" s="181"/>
      <c r="BI11" s="181"/>
      <c r="BJ11" s="181"/>
      <c r="BK11" s="181"/>
    </row>
    <row r="12" spans="1:63" ht="15" customHeight="1" x14ac:dyDescent="0.25">
      <c r="A12" s="13"/>
      <c r="B12" s="1782" t="s">
        <v>9</v>
      </c>
      <c r="C12" s="1784"/>
      <c r="D12" s="1784"/>
      <c r="E12" s="1784"/>
      <c r="F12" s="1784"/>
      <c r="G12" s="40"/>
      <c r="H12" s="1450" t="s">
        <v>100</v>
      </c>
      <c r="I12" s="1789">
        <f>((7.8*(120/100))+(7.8*(140/100))+(7.8*(140/100))+(7.8*(100/100)))/4</f>
        <v>9.75</v>
      </c>
      <c r="J12" s="1789"/>
      <c r="K12" s="1789"/>
      <c r="L12" s="1789"/>
      <c r="M12" s="1790">
        <f>I12+12</f>
        <v>21.75</v>
      </c>
      <c r="N12" s="209"/>
      <c r="O12" s="183" t="s">
        <v>100</v>
      </c>
      <c r="P12" s="1789"/>
      <c r="Q12" s="1789"/>
      <c r="R12" s="1789"/>
      <c r="S12" s="1789"/>
      <c r="T12" s="1793"/>
      <c r="U12" s="156"/>
      <c r="V12" s="183" t="s">
        <v>100</v>
      </c>
      <c r="W12" s="1789"/>
      <c r="X12" s="1789"/>
      <c r="Y12" s="1789"/>
      <c r="Z12" s="1789"/>
      <c r="AA12" s="1793"/>
      <c r="AB12" s="156"/>
      <c r="AC12" s="183" t="s">
        <v>100</v>
      </c>
      <c r="AD12" s="1789"/>
      <c r="AE12" s="1802"/>
      <c r="AF12" s="1802"/>
      <c r="AG12" s="1789"/>
      <c r="AH12" s="1793"/>
      <c r="AI12" s="156"/>
      <c r="AJ12" s="183" t="s">
        <v>100</v>
      </c>
      <c r="AK12" s="1792"/>
      <c r="AL12" s="1789"/>
      <c r="AM12" s="1789"/>
      <c r="AN12" s="1789"/>
      <c r="AO12" s="1793"/>
      <c r="AP12" s="184"/>
      <c r="AQ12" s="1782" t="s">
        <v>9</v>
      </c>
      <c r="AR12" s="1784"/>
      <c r="AS12" s="1784"/>
      <c r="AT12" s="1784"/>
      <c r="AU12" s="1784"/>
      <c r="AV12" s="40"/>
      <c r="AW12" s="40"/>
      <c r="AX12" s="185"/>
      <c r="AY12" s="185"/>
      <c r="AZ12" s="185"/>
      <c r="BA12" s="186"/>
      <c r="BB12" s="185"/>
      <c r="BC12" s="40"/>
      <c r="BD12" s="187"/>
      <c r="BE12" s="188"/>
      <c r="BF12" s="188"/>
      <c r="BG12" s="188"/>
      <c r="BH12" s="188"/>
      <c r="BI12" s="188"/>
      <c r="BJ12" s="188"/>
      <c r="BK12" s="188"/>
    </row>
    <row r="13" spans="1:63" ht="23" customHeight="1" x14ac:dyDescent="0.25">
      <c r="A13" s="13"/>
      <c r="B13" s="2099" t="s">
        <v>13</v>
      </c>
      <c r="C13" s="2103"/>
      <c r="D13" s="2103"/>
      <c r="E13" s="2103"/>
      <c r="F13" s="2103"/>
      <c r="G13" s="137"/>
      <c r="H13" s="1990" t="s">
        <v>403</v>
      </c>
      <c r="I13" s="1455" t="s">
        <v>63</v>
      </c>
      <c r="J13" s="1452" t="s">
        <v>106</v>
      </c>
      <c r="K13" s="1452" t="s">
        <v>106</v>
      </c>
      <c r="L13" s="1455" t="s">
        <v>63</v>
      </c>
      <c r="M13" s="1440"/>
      <c r="N13" s="139"/>
      <c r="O13" s="1998" t="s">
        <v>101</v>
      </c>
      <c r="P13" s="1451" t="s">
        <v>68</v>
      </c>
      <c r="Q13" s="1451" t="s">
        <v>68</v>
      </c>
      <c r="R13" s="1451" t="s">
        <v>68</v>
      </c>
      <c r="S13" s="1452" t="s">
        <v>69</v>
      </c>
      <c r="T13" s="192"/>
      <c r="U13" s="139"/>
      <c r="V13" s="1997" t="s">
        <v>397</v>
      </c>
      <c r="W13" s="1451" t="s">
        <v>68</v>
      </c>
      <c r="X13" s="1451" t="s">
        <v>68</v>
      </c>
      <c r="Y13" s="1451" t="s">
        <v>68</v>
      </c>
      <c r="Z13" s="1455" t="s">
        <v>63</v>
      </c>
      <c r="AA13" s="193"/>
      <c r="AB13" s="142"/>
      <c r="AC13" s="2009" t="s">
        <v>102</v>
      </c>
      <c r="AD13" s="1455" t="s">
        <v>63</v>
      </c>
      <c r="AE13" s="1452" t="s">
        <v>106</v>
      </c>
      <c r="AF13" s="1452" t="s">
        <v>106</v>
      </c>
      <c r="AG13" s="1452" t="s">
        <v>106</v>
      </c>
      <c r="AH13" s="194"/>
      <c r="AI13" s="195"/>
      <c r="AJ13" s="2008" t="s">
        <v>103</v>
      </c>
      <c r="AK13" s="1453" t="s">
        <v>72</v>
      </c>
      <c r="AL13" s="1455" t="s">
        <v>63</v>
      </c>
      <c r="AM13" s="1455" t="s">
        <v>63</v>
      </c>
      <c r="AN13" s="1455" t="s">
        <v>63</v>
      </c>
      <c r="AO13" s="145"/>
      <c r="AP13" s="196" t="s">
        <v>104</v>
      </c>
      <c r="AQ13" s="2099" t="s">
        <v>13</v>
      </c>
      <c r="AR13" s="2103"/>
      <c r="AS13" s="2103"/>
      <c r="AT13" s="2103"/>
      <c r="AU13" s="2103"/>
      <c r="AV13" s="40"/>
      <c r="AW13" s="40"/>
      <c r="AX13" s="197"/>
      <c r="AY13" s="197"/>
      <c r="AZ13" s="197"/>
      <c r="BA13" s="197"/>
      <c r="BB13" s="197"/>
      <c r="BC13" s="40"/>
      <c r="BD13" s="198"/>
      <c r="BE13" s="199"/>
      <c r="BF13" s="199"/>
      <c r="BG13" s="199"/>
      <c r="BH13" s="199"/>
      <c r="BI13" s="199"/>
      <c r="BJ13" s="199"/>
      <c r="BK13" s="199"/>
    </row>
    <row r="14" spans="1:63" ht="15" customHeight="1" x14ac:dyDescent="0.2">
      <c r="A14" s="13"/>
      <c r="B14" s="40"/>
      <c r="C14" s="40"/>
      <c r="D14" s="40"/>
      <c r="E14" s="40"/>
      <c r="F14" s="40"/>
      <c r="G14" s="137"/>
      <c r="H14" s="152" t="s">
        <v>73</v>
      </c>
      <c r="I14" s="153">
        <f>Aspects!E12</f>
        <v>102.91300000000001</v>
      </c>
      <c r="J14" s="153">
        <f>Aspects!E11</f>
        <v>81.09605084689899</v>
      </c>
      <c r="K14" s="153">
        <f>Aspects!E10</f>
        <v>83.692617060185995</v>
      </c>
      <c r="L14" s="153">
        <f>Aspects!E9</f>
        <v>138.23757376354899</v>
      </c>
      <c r="M14" s="154"/>
      <c r="N14" s="200"/>
      <c r="O14" s="152" t="s">
        <v>73</v>
      </c>
      <c r="P14" s="153">
        <f>Aspects!L27</f>
        <v>18.981000000000002</v>
      </c>
      <c r="Q14" s="153">
        <f>Aspects!L26</f>
        <v>14.396676852678013</v>
      </c>
      <c r="R14" s="153">
        <f>Aspects!L25</f>
        <v>10.991787869548006</v>
      </c>
      <c r="S14" s="153">
        <f>Aspects!L24</f>
        <v>191.367080943399</v>
      </c>
      <c r="T14" s="154"/>
      <c r="U14" s="200"/>
      <c r="V14" s="152" t="s">
        <v>73</v>
      </c>
      <c r="W14" s="153">
        <f>Aspects!F22</f>
        <v>14.398999999999997</v>
      </c>
      <c r="X14" s="153">
        <f>Aspects!F21</f>
        <v>16.279116040253001</v>
      </c>
      <c r="Y14" s="153">
        <f>Aspects!F20</f>
        <v>17.34891844997</v>
      </c>
      <c r="Z14" s="153">
        <f>Aspects!F19</f>
        <v>138.381618804022</v>
      </c>
      <c r="AA14" s="154"/>
      <c r="AB14" s="200"/>
      <c r="AC14" s="152" t="s">
        <v>73</v>
      </c>
      <c r="AD14" s="153">
        <f>Aspects!I32</f>
        <v>71.430000000000007</v>
      </c>
      <c r="AE14" s="153">
        <f>Aspects!I31</f>
        <v>90.896944157002025</v>
      </c>
      <c r="AF14" s="153">
        <f>Aspects!I30</f>
        <v>85.726536977513973</v>
      </c>
      <c r="AG14" s="153">
        <f>Aspects!I29</f>
        <v>82.306103011529984</v>
      </c>
      <c r="AH14" s="154"/>
      <c r="AI14" s="200"/>
      <c r="AJ14" s="152" t="s">
        <v>73</v>
      </c>
      <c r="AK14" s="153">
        <f>Aspects!L52</f>
        <v>28.626000000000005</v>
      </c>
      <c r="AL14" s="153">
        <f>Aspects!L51</f>
        <v>54.294653502235008</v>
      </c>
      <c r="AM14" s="153">
        <f>Aspects!L50</f>
        <v>53.780332789338019</v>
      </c>
      <c r="AN14" s="153">
        <f>Aspects!L49</f>
        <v>55.107449281135985</v>
      </c>
      <c r="AO14" s="201"/>
      <c r="AP14" s="158" t="s">
        <v>53</v>
      </c>
      <c r="AQ14" s="40"/>
      <c r="AR14" s="40"/>
      <c r="AS14" s="40"/>
      <c r="AT14" s="40"/>
      <c r="AU14" s="40"/>
      <c r="AV14" s="40"/>
      <c r="AW14" s="40"/>
      <c r="AX14" s="202"/>
      <c r="AY14" s="202"/>
      <c r="AZ14" s="202"/>
      <c r="BA14" s="202"/>
      <c r="BB14" s="202"/>
      <c r="BC14" s="40"/>
      <c r="BD14" s="203"/>
      <c r="BE14" s="40"/>
      <c r="BF14" s="40"/>
      <c r="BG14" s="40"/>
      <c r="BH14" s="40"/>
      <c r="BI14" s="40"/>
      <c r="BJ14" s="40"/>
      <c r="BK14" s="40"/>
    </row>
    <row r="15" spans="1:63" ht="15" customHeight="1" x14ac:dyDescent="0.2">
      <c r="A15" s="13"/>
      <c r="E15" s="190"/>
      <c r="G15" s="137"/>
      <c r="H15" s="160" t="s">
        <v>75</v>
      </c>
      <c r="I15" s="161"/>
      <c r="J15" s="161">
        <f>90-J14</f>
        <v>8.90394915310101</v>
      </c>
      <c r="K15" s="161">
        <f>90-K14</f>
        <v>6.3073829398140049</v>
      </c>
      <c r="L15" s="161"/>
      <c r="M15" s="162"/>
      <c r="N15" s="200"/>
      <c r="O15" s="160" t="s">
        <v>75</v>
      </c>
      <c r="P15" s="161">
        <f>P14</f>
        <v>18.981000000000002</v>
      </c>
      <c r="Q15" s="161">
        <f>Q14</f>
        <v>14.396676852678013</v>
      </c>
      <c r="R15" s="161">
        <f>R14</f>
        <v>10.991787869548006</v>
      </c>
      <c r="S15" s="161">
        <f>S14-180</f>
        <v>11.367080943399003</v>
      </c>
      <c r="T15" s="162"/>
      <c r="U15" s="200"/>
      <c r="V15" s="160" t="s">
        <v>75</v>
      </c>
      <c r="W15" s="161">
        <f>W14</f>
        <v>14.398999999999997</v>
      </c>
      <c r="X15" s="161">
        <f>X14</f>
        <v>16.279116040253001</v>
      </c>
      <c r="Y15" s="161">
        <f>Y14</f>
        <v>17.34891844997</v>
      </c>
      <c r="Z15" s="161"/>
      <c r="AA15" s="162"/>
      <c r="AB15" s="200"/>
      <c r="AC15" s="160" t="s">
        <v>75</v>
      </c>
      <c r="AD15" s="161"/>
      <c r="AE15" s="161">
        <f>AE14-90</f>
        <v>0.89694415700202512</v>
      </c>
      <c r="AF15" s="161">
        <f>90-AF14</f>
        <v>4.2734630224860268</v>
      </c>
      <c r="AG15" s="161">
        <f>90-AG14</f>
        <v>7.6938969884700157</v>
      </c>
      <c r="AH15" s="162"/>
      <c r="AI15" s="200"/>
      <c r="AJ15" s="160" t="s">
        <v>75</v>
      </c>
      <c r="AK15" s="161">
        <f>30-AK14</f>
        <v>1.3739999999999952</v>
      </c>
      <c r="AL15" s="161"/>
      <c r="AM15" s="161"/>
      <c r="AN15" s="161"/>
      <c r="AO15" s="162"/>
      <c r="AP15" s="164"/>
      <c r="AQ15" s="189"/>
      <c r="AR15" s="190"/>
      <c r="AS15" s="190"/>
      <c r="AT15" s="190"/>
      <c r="AU15" s="190"/>
      <c r="AV15" s="40"/>
      <c r="AW15" s="40"/>
      <c r="AX15" s="202"/>
      <c r="AY15" s="202"/>
      <c r="AZ15" s="202"/>
      <c r="BA15" s="202"/>
      <c r="BB15" s="202"/>
      <c r="BC15" s="40"/>
      <c r="BD15" s="203"/>
      <c r="BE15" s="40"/>
      <c r="BF15" s="40"/>
      <c r="BG15" s="40"/>
      <c r="BH15" s="40"/>
      <c r="BI15" s="40"/>
      <c r="BJ15" s="40"/>
      <c r="BK15" s="40"/>
    </row>
    <row r="16" spans="1:63" ht="15" customHeight="1" x14ac:dyDescent="0.15">
      <c r="A16" s="13"/>
      <c r="B16" s="204"/>
      <c r="C16" s="204"/>
      <c r="D16" s="40"/>
      <c r="F16" s="40"/>
      <c r="G16" s="137"/>
      <c r="H16" s="165" t="s">
        <v>76</v>
      </c>
      <c r="I16" s="166"/>
      <c r="J16" s="166"/>
      <c r="K16" s="166"/>
      <c r="L16" s="166"/>
      <c r="M16" s="167"/>
      <c r="N16" s="168"/>
      <c r="O16" s="165" t="s">
        <v>76</v>
      </c>
      <c r="P16" s="166"/>
      <c r="Q16" s="166"/>
      <c r="R16" s="166"/>
      <c r="S16" s="166"/>
      <c r="T16" s="167"/>
      <c r="U16" s="169"/>
      <c r="V16" s="165" t="s">
        <v>76</v>
      </c>
      <c r="W16" s="166"/>
      <c r="X16" s="166"/>
      <c r="Y16" s="166"/>
      <c r="Z16" s="166"/>
      <c r="AA16" s="167"/>
      <c r="AB16" s="169"/>
      <c r="AC16" s="165" t="s">
        <v>76</v>
      </c>
      <c r="AD16" s="166"/>
      <c r="AE16" s="166"/>
      <c r="AF16" s="166"/>
      <c r="AG16" s="166"/>
      <c r="AH16" s="167"/>
      <c r="AI16" s="169"/>
      <c r="AJ16" s="165" t="s">
        <v>76</v>
      </c>
      <c r="AK16" s="166"/>
      <c r="AL16" s="166"/>
      <c r="AM16" s="166"/>
      <c r="AN16" s="166"/>
      <c r="AO16" s="170"/>
      <c r="AP16" s="205"/>
      <c r="AQ16" s="204"/>
      <c r="AR16" s="204"/>
      <c r="AS16" s="204"/>
      <c r="AT16" s="204"/>
      <c r="AU16" s="204"/>
      <c r="AV16" s="40"/>
      <c r="AW16" s="40"/>
      <c r="AX16" s="206"/>
      <c r="AY16" s="206"/>
      <c r="AZ16" s="206"/>
      <c r="BA16" s="206"/>
      <c r="BB16" s="206"/>
      <c r="BC16" s="40"/>
      <c r="BD16" s="207"/>
      <c r="BE16" s="40"/>
      <c r="BF16" s="40"/>
      <c r="BG16" s="40"/>
      <c r="BH16" s="40"/>
      <c r="BI16" s="40"/>
      <c r="BJ16" s="40"/>
      <c r="BK16" s="40"/>
    </row>
    <row r="17" spans="1:63" ht="15" customHeight="1" x14ac:dyDescent="0.2">
      <c r="A17" s="13"/>
      <c r="B17" s="208"/>
      <c r="C17" s="208"/>
      <c r="D17" s="208"/>
      <c r="E17" s="208"/>
      <c r="F17" s="208"/>
      <c r="G17" s="209"/>
      <c r="H17" s="173" t="s">
        <v>80</v>
      </c>
      <c r="I17" s="1788"/>
      <c r="J17" s="1788"/>
      <c r="K17" s="1788"/>
      <c r="L17" s="1788"/>
      <c r="M17" s="1791"/>
      <c r="N17" s="156"/>
      <c r="O17" s="173" t="s">
        <v>80</v>
      </c>
      <c r="P17" s="1788"/>
      <c r="Q17" s="1788"/>
      <c r="R17" s="1788"/>
      <c r="S17" s="1788"/>
      <c r="T17" s="1803"/>
      <c r="U17" s="156"/>
      <c r="V17" s="173" t="s">
        <v>80</v>
      </c>
      <c r="W17" s="1788"/>
      <c r="X17" s="1788"/>
      <c r="Y17" s="1788"/>
      <c r="Z17" s="1788"/>
      <c r="AA17" s="210"/>
      <c r="AB17" s="156"/>
      <c r="AC17" s="173" t="s">
        <v>80</v>
      </c>
      <c r="AD17" s="1788"/>
      <c r="AE17" s="1788"/>
      <c r="AF17" s="1788"/>
      <c r="AG17" s="1788"/>
      <c r="AH17" s="1803"/>
      <c r="AI17" s="156"/>
      <c r="AJ17" s="173" t="s">
        <v>80</v>
      </c>
      <c r="AK17" s="1788"/>
      <c r="AL17" s="1788"/>
      <c r="AM17" s="1788"/>
      <c r="AN17" s="1788"/>
      <c r="AO17" s="1806"/>
      <c r="AP17" s="211"/>
      <c r="AQ17" s="208"/>
      <c r="AR17" s="208"/>
      <c r="AS17" s="208"/>
      <c r="AT17" s="208"/>
      <c r="AU17" s="208"/>
      <c r="AV17" s="40"/>
      <c r="AW17" s="40"/>
      <c r="AX17" s="212"/>
      <c r="AY17" s="212"/>
      <c r="AZ17" s="212"/>
      <c r="BA17" s="212"/>
      <c r="BB17" s="212"/>
      <c r="BC17" s="40"/>
      <c r="BD17" s="213"/>
      <c r="BE17" s="40"/>
      <c r="BF17" s="40"/>
      <c r="BG17" s="40"/>
      <c r="BH17" s="40"/>
      <c r="BI17" s="40"/>
      <c r="BJ17" s="40"/>
      <c r="BK17" s="40"/>
    </row>
    <row r="18" spans="1:63" ht="15" customHeight="1" x14ac:dyDescent="0.2">
      <c r="A18" s="13"/>
      <c r="B18" s="14"/>
      <c r="C18" s="208"/>
      <c r="D18" s="1451" t="s">
        <v>68</v>
      </c>
      <c r="E18" s="208"/>
      <c r="F18" s="208"/>
      <c r="G18" s="209"/>
      <c r="H18" s="173" t="s">
        <v>85</v>
      </c>
      <c r="I18" s="1788"/>
      <c r="J18" s="1788"/>
      <c r="K18" s="1788"/>
      <c r="L18" s="1788"/>
      <c r="M18" s="1791"/>
      <c r="N18" s="156"/>
      <c r="O18" s="173" t="s">
        <v>85</v>
      </c>
      <c r="P18" s="1788"/>
      <c r="Q18" s="1788"/>
      <c r="R18" s="1807"/>
      <c r="S18" s="1788"/>
      <c r="T18" s="1803"/>
      <c r="U18" s="156"/>
      <c r="V18" s="173" t="s">
        <v>85</v>
      </c>
      <c r="W18" s="1788"/>
      <c r="X18" s="1788"/>
      <c r="Y18" s="1788"/>
      <c r="Z18" s="1788"/>
      <c r="AA18" s="210"/>
      <c r="AB18" s="156"/>
      <c r="AC18" s="173" t="s">
        <v>85</v>
      </c>
      <c r="AD18" s="1788"/>
      <c r="AE18" s="1788"/>
      <c r="AF18" s="1788"/>
      <c r="AG18" s="1788"/>
      <c r="AH18" s="1803"/>
      <c r="AI18" s="156"/>
      <c r="AJ18" s="173" t="s">
        <v>85</v>
      </c>
      <c r="AK18" s="1788"/>
      <c r="AL18" s="1788"/>
      <c r="AM18" s="1788"/>
      <c r="AN18" s="1788"/>
      <c r="AO18" s="1806"/>
      <c r="AP18" s="211"/>
      <c r="AQ18" s="214"/>
      <c r="AR18" s="208"/>
      <c r="AS18" s="208"/>
      <c r="AT18" s="208"/>
      <c r="AU18" s="208"/>
      <c r="AV18" s="40"/>
      <c r="AW18" s="40"/>
      <c r="AX18" s="40"/>
      <c r="AY18" s="40"/>
      <c r="AZ18" s="40"/>
      <c r="BA18" s="40"/>
      <c r="BB18" s="40"/>
      <c r="BC18" s="40"/>
      <c r="BD18" s="213"/>
      <c r="BE18" s="40"/>
      <c r="BF18" s="40"/>
      <c r="BG18" s="40"/>
      <c r="BH18" s="40"/>
      <c r="BI18" s="40"/>
      <c r="BJ18" s="40"/>
      <c r="BK18" s="40"/>
    </row>
    <row r="19" spans="1:63" ht="15" customHeight="1" x14ac:dyDescent="0.2">
      <c r="A19" s="13"/>
      <c r="B19" s="14"/>
      <c r="C19" s="208"/>
      <c r="D19" s="208"/>
      <c r="E19" s="208"/>
      <c r="F19" s="208"/>
      <c r="G19" s="209"/>
      <c r="H19" s="173" t="s">
        <v>90</v>
      </c>
      <c r="I19" s="1788"/>
      <c r="J19" s="1788"/>
      <c r="K19" s="1788"/>
      <c r="L19" s="1788"/>
      <c r="M19" s="1791"/>
      <c r="N19" s="156"/>
      <c r="O19" s="173" t="s">
        <v>90</v>
      </c>
      <c r="P19" s="1788"/>
      <c r="Q19" s="1788"/>
      <c r="R19" s="1788"/>
      <c r="S19" s="1788"/>
      <c r="T19" s="1803"/>
      <c r="U19" s="156"/>
      <c r="V19" s="173" t="s">
        <v>90</v>
      </c>
      <c r="W19" s="1788"/>
      <c r="X19" s="1788"/>
      <c r="Y19" s="1788"/>
      <c r="Z19" s="1788"/>
      <c r="AA19" s="210"/>
      <c r="AB19" s="156"/>
      <c r="AC19" s="173" t="s">
        <v>90</v>
      </c>
      <c r="AD19" s="1788"/>
      <c r="AE19" s="1788"/>
      <c r="AF19" s="1788"/>
      <c r="AG19" s="1788"/>
      <c r="AH19" s="1803"/>
      <c r="AI19" s="156"/>
      <c r="AJ19" s="173" t="s">
        <v>90</v>
      </c>
      <c r="AK19" s="1788"/>
      <c r="AL19" s="1788"/>
      <c r="AM19" s="1788"/>
      <c r="AN19" s="1788"/>
      <c r="AO19" s="1806"/>
      <c r="AP19" s="211"/>
      <c r="AQ19" s="208"/>
      <c r="AR19" s="208"/>
      <c r="AS19" s="208"/>
      <c r="AT19" s="208"/>
      <c r="AU19" s="208"/>
      <c r="AV19" s="40"/>
      <c r="AW19" s="40"/>
      <c r="AX19" s="40"/>
      <c r="AY19" s="40"/>
      <c r="AZ19" s="40"/>
      <c r="BA19" s="40"/>
      <c r="BB19" s="40"/>
      <c r="BC19" s="40"/>
      <c r="BD19" s="213"/>
      <c r="BE19" s="40"/>
      <c r="BF19" s="40"/>
      <c r="BG19" s="40"/>
      <c r="BH19" s="40"/>
      <c r="BI19" s="40"/>
      <c r="BJ19" s="40"/>
      <c r="BK19" s="40"/>
    </row>
    <row r="20" spans="1:63" ht="15" customHeight="1" x14ac:dyDescent="0.2">
      <c r="A20" s="13"/>
      <c r="B20" s="14"/>
      <c r="C20" s="208"/>
      <c r="D20" s="1452" t="s">
        <v>69</v>
      </c>
      <c r="E20" s="208"/>
      <c r="F20" s="208"/>
      <c r="G20" s="209"/>
      <c r="H20" s="173" t="s">
        <v>95</v>
      </c>
      <c r="I20" s="1788"/>
      <c r="J20" s="1788"/>
      <c r="K20" s="1788"/>
      <c r="L20" s="1788"/>
      <c r="M20" s="1791"/>
      <c r="N20" s="156"/>
      <c r="O20" s="173" t="s">
        <v>95</v>
      </c>
      <c r="P20" s="1788"/>
      <c r="Q20" s="1788"/>
      <c r="R20" s="1788"/>
      <c r="S20" s="1788"/>
      <c r="T20" s="1803"/>
      <c r="U20" s="156"/>
      <c r="V20" s="173" t="s">
        <v>95</v>
      </c>
      <c r="W20" s="1788"/>
      <c r="X20" s="1788"/>
      <c r="Y20" s="1788"/>
      <c r="Z20" s="1788"/>
      <c r="AA20" s="210"/>
      <c r="AB20" s="156"/>
      <c r="AC20" s="173" t="s">
        <v>95</v>
      </c>
      <c r="AD20" s="1788"/>
      <c r="AE20" s="1788"/>
      <c r="AF20" s="1788"/>
      <c r="AG20" s="1788"/>
      <c r="AH20" s="1803"/>
      <c r="AI20" s="156"/>
      <c r="AJ20" s="173" t="s">
        <v>95</v>
      </c>
      <c r="AK20" s="1788"/>
      <c r="AL20" s="1788"/>
      <c r="AM20" s="1788"/>
      <c r="AN20" s="1788"/>
      <c r="AO20" s="1806"/>
      <c r="AP20" s="211"/>
      <c r="AQ20" s="1451" t="s">
        <v>68</v>
      </c>
      <c r="AR20" s="208"/>
      <c r="AS20" s="14"/>
      <c r="AT20" s="208"/>
      <c r="AU20" s="208"/>
      <c r="AV20" s="40"/>
      <c r="AW20" s="40"/>
      <c r="AX20" s="40"/>
      <c r="AY20" s="40"/>
      <c r="AZ20" s="40"/>
      <c r="BA20" s="40"/>
      <c r="BB20" s="40"/>
      <c r="BC20" s="40"/>
      <c r="BD20" s="213"/>
      <c r="BE20" s="40"/>
      <c r="BF20" s="40"/>
      <c r="BG20" s="40"/>
      <c r="BH20" s="40"/>
      <c r="BI20" s="40"/>
      <c r="BJ20" s="40"/>
      <c r="BK20" s="40"/>
    </row>
    <row r="21" spans="1:63" ht="15" customHeight="1" x14ac:dyDescent="0.15">
      <c r="A21" s="13"/>
      <c r="B21" s="14"/>
      <c r="C21" s="215"/>
      <c r="D21" s="215"/>
      <c r="E21" s="215"/>
      <c r="F21" s="215"/>
      <c r="G21" s="209"/>
      <c r="H21" s="183" t="s">
        <v>100</v>
      </c>
      <c r="I21" s="1789"/>
      <c r="J21" s="1789"/>
      <c r="K21" s="1789"/>
      <c r="L21" s="1789"/>
      <c r="M21" s="1794"/>
      <c r="N21" s="156"/>
      <c r="O21" s="183" t="s">
        <v>100</v>
      </c>
      <c r="P21" s="1789"/>
      <c r="Q21" s="1789"/>
      <c r="R21" s="1789"/>
      <c r="S21" s="1789"/>
      <c r="T21" s="1793"/>
      <c r="U21" s="156"/>
      <c r="V21" s="183" t="s">
        <v>100</v>
      </c>
      <c r="W21" s="1789"/>
      <c r="X21" s="1789"/>
      <c r="Y21" s="1789"/>
      <c r="Z21" s="1789"/>
      <c r="AA21" s="1793"/>
      <c r="AB21" s="156"/>
      <c r="AC21" s="183" t="s">
        <v>100</v>
      </c>
      <c r="AD21" s="1789"/>
      <c r="AE21" s="1792"/>
      <c r="AF21" s="1792"/>
      <c r="AG21" s="1789"/>
      <c r="AH21" s="1793"/>
      <c r="AI21" s="156"/>
      <c r="AJ21" s="183" t="s">
        <v>100</v>
      </c>
      <c r="AK21" s="1789"/>
      <c r="AL21" s="1789"/>
      <c r="AM21" s="1789"/>
      <c r="AN21" s="1789"/>
      <c r="AO21" s="1793"/>
      <c r="AP21" s="216"/>
      <c r="AQ21" s="208"/>
      <c r="AR21" s="215"/>
      <c r="AS21" s="14"/>
      <c r="AT21" s="215"/>
      <c r="AU21" s="215"/>
      <c r="AV21" s="40"/>
      <c r="AW21" s="40"/>
      <c r="AX21" s="186"/>
      <c r="AY21" s="186"/>
      <c r="AZ21" s="186"/>
      <c r="BA21" s="186"/>
      <c r="BB21" s="186"/>
      <c r="BC21" s="40"/>
      <c r="BD21" s="217"/>
      <c r="BE21" s="40"/>
      <c r="BF21" s="40"/>
      <c r="BG21" s="40"/>
      <c r="BH21" s="40"/>
      <c r="BI21" s="40"/>
      <c r="BJ21" s="40"/>
      <c r="BK21" s="40"/>
    </row>
    <row r="22" spans="1:63" ht="24.75" customHeight="1" x14ac:dyDescent="0.25">
      <c r="A22" s="13"/>
      <c r="B22" s="14"/>
      <c r="C22" s="40"/>
      <c r="D22" s="1453" t="s">
        <v>105</v>
      </c>
      <c r="E22" s="40"/>
      <c r="F22" s="40"/>
      <c r="G22" s="218"/>
      <c r="H22" s="1992" t="s">
        <v>108</v>
      </c>
      <c r="I22" s="1453" t="s">
        <v>105</v>
      </c>
      <c r="J22" s="1452" t="s">
        <v>106</v>
      </c>
      <c r="K22" s="1455" t="s">
        <v>63</v>
      </c>
      <c r="L22" s="1451" t="s">
        <v>68</v>
      </c>
      <c r="M22" s="219"/>
      <c r="N22" s="142"/>
      <c r="O22" s="1991" t="s">
        <v>109</v>
      </c>
      <c r="P22" s="1451" t="s">
        <v>68</v>
      </c>
      <c r="Q22" s="1451" t="s">
        <v>68</v>
      </c>
      <c r="R22" s="1451" t="s">
        <v>68</v>
      </c>
      <c r="S22" s="1451" t="s">
        <v>68</v>
      </c>
      <c r="T22" s="192"/>
      <c r="U22" s="220"/>
      <c r="V22" s="2002" t="s">
        <v>110</v>
      </c>
      <c r="W22" s="1451" t="s">
        <v>68</v>
      </c>
      <c r="X22" s="1451" t="s">
        <v>68</v>
      </c>
      <c r="Y22" s="1451" t="s">
        <v>68</v>
      </c>
      <c r="Z22" s="1455" t="s">
        <v>63</v>
      </c>
      <c r="AA22" s="192"/>
      <c r="AB22" s="221"/>
      <c r="AC22" s="1995" t="s">
        <v>111</v>
      </c>
      <c r="AD22" s="1452" t="s">
        <v>106</v>
      </c>
      <c r="AE22" s="1453" t="s">
        <v>105</v>
      </c>
      <c r="AF22" s="1453" t="s">
        <v>105</v>
      </c>
      <c r="AG22" s="1453" t="s">
        <v>105</v>
      </c>
      <c r="AH22" s="141"/>
      <c r="AI22" s="144"/>
      <c r="AJ22" s="2007" t="s">
        <v>112</v>
      </c>
      <c r="AK22" s="1451" t="s">
        <v>68</v>
      </c>
      <c r="AL22" s="1451" t="s">
        <v>68</v>
      </c>
      <c r="AM22" s="1451" t="s">
        <v>68</v>
      </c>
      <c r="AN22" s="1451" t="s">
        <v>68</v>
      </c>
      <c r="AO22" s="145"/>
      <c r="AP22" s="222"/>
      <c r="AQ22" s="1452" t="s">
        <v>69</v>
      </c>
      <c r="AR22" s="40"/>
      <c r="AS22" s="14"/>
      <c r="AT22" s="40"/>
      <c r="AU22" s="40"/>
      <c r="AV22" s="40"/>
      <c r="AW22" s="40"/>
      <c r="AX22" s="197"/>
      <c r="AY22" s="197"/>
      <c r="AZ22" s="197"/>
      <c r="BA22" s="197"/>
      <c r="BB22" s="197"/>
      <c r="BC22" s="40"/>
      <c r="BD22" s="122"/>
      <c r="BE22" s="40"/>
      <c r="BF22" s="40"/>
      <c r="BG22" s="40"/>
      <c r="BH22" s="40"/>
      <c r="BI22" s="40"/>
      <c r="BJ22" s="40"/>
      <c r="BK22" s="40"/>
    </row>
    <row r="23" spans="1:63" ht="15" customHeight="1" x14ac:dyDescent="0.2">
      <c r="A23" s="13"/>
      <c r="B23" s="14"/>
      <c r="C23" s="204"/>
      <c r="D23" s="204"/>
      <c r="E23" s="204"/>
      <c r="F23" s="204"/>
      <c r="G23" s="209"/>
      <c r="H23" s="152" t="s">
        <v>73</v>
      </c>
      <c r="I23" s="153">
        <f>Aspects!F12</f>
        <v>117.31200000000001</v>
      </c>
      <c r="J23" s="153">
        <f>Aspects!F11</f>
        <v>97.375166887151991</v>
      </c>
      <c r="K23" s="153">
        <f>Aspects!F10</f>
        <v>101.041535510156</v>
      </c>
      <c r="L23" s="1988">
        <f>Aspects!F9</f>
        <v>0.14404504047299582</v>
      </c>
      <c r="M23" s="223"/>
      <c r="N23" s="200"/>
      <c r="O23" s="152" t="s">
        <v>73</v>
      </c>
      <c r="P23" s="153">
        <f>Aspects!L32</f>
        <v>8.5929999999999964</v>
      </c>
      <c r="Q23" s="153">
        <f>Aspects!L31</f>
        <v>0.28467689876302416</v>
      </c>
      <c r="R23" s="153">
        <f>Aspects!L30</f>
        <v>3.0017118261949918</v>
      </c>
      <c r="S23" s="153">
        <f>Aspects!L29</f>
        <v>11.774165059670992</v>
      </c>
      <c r="T23" s="154"/>
      <c r="U23" s="200"/>
      <c r="V23" s="152" t="s">
        <v>73</v>
      </c>
      <c r="W23" s="153">
        <f>Aspects!E17</f>
        <v>13.814000000000004</v>
      </c>
      <c r="X23" s="153">
        <f>Aspects!E16</f>
        <v>15.65170613251999</v>
      </c>
      <c r="Y23" s="153">
        <f>Aspects!E15</f>
        <v>16.771678668416001</v>
      </c>
      <c r="Z23" s="153">
        <f>Aspects!E14</f>
        <v>137.146685171634</v>
      </c>
      <c r="AA23" s="154"/>
      <c r="AB23" s="200"/>
      <c r="AC23" s="152" t="s">
        <v>73</v>
      </c>
      <c r="AD23" s="153">
        <f>Aspects!I37</f>
        <v>94.033000000000001</v>
      </c>
      <c r="AE23" s="153">
        <f>Aspects!I36</f>
        <v>119.04006387915601</v>
      </c>
      <c r="AF23" s="153">
        <f>Aspects!I35</f>
        <v>114.54269852380597</v>
      </c>
      <c r="AG23" s="153">
        <f>Aspects!I34</f>
        <v>122.93763046420798</v>
      </c>
      <c r="AH23" s="154"/>
      <c r="AI23" s="200"/>
      <c r="AJ23" s="152" t="s">
        <v>73</v>
      </c>
      <c r="AK23" s="153">
        <f>Aspects!K47</f>
        <v>0.67600000000000193</v>
      </c>
      <c r="AL23" s="153">
        <f>Aspects!K46</f>
        <v>0.31116465413799688</v>
      </c>
      <c r="AM23" s="153">
        <f>Aspects!K45</f>
        <v>0.13821886318896759</v>
      </c>
      <c r="AN23" s="153">
        <f>Aspects!K44</f>
        <v>1.0575603153080237</v>
      </c>
      <c r="AO23" s="201"/>
      <c r="AP23" s="205"/>
      <c r="AQ23" s="215"/>
      <c r="AR23" s="204"/>
      <c r="AS23" s="14"/>
      <c r="AT23" s="204"/>
      <c r="AU23" s="204"/>
      <c r="AV23" s="40"/>
      <c r="AW23" s="40"/>
      <c r="AX23" s="202"/>
      <c r="AY23" s="202"/>
      <c r="AZ23" s="202"/>
      <c r="BA23" s="202"/>
      <c r="BB23" s="202"/>
      <c r="BC23" s="40"/>
      <c r="BD23" s="203"/>
      <c r="BE23" s="224" t="s">
        <v>114</v>
      </c>
      <c r="BF23" s="40"/>
      <c r="BG23" s="40"/>
      <c r="BH23" s="40"/>
      <c r="BI23" s="40"/>
      <c r="BJ23" s="40"/>
      <c r="BK23" s="40"/>
    </row>
    <row r="24" spans="1:63" ht="15" customHeight="1" x14ac:dyDescent="0.2">
      <c r="A24" s="13"/>
      <c r="B24" s="14"/>
      <c r="C24" s="204"/>
      <c r="D24" s="1452" t="s">
        <v>106</v>
      </c>
      <c r="E24" s="204"/>
      <c r="F24" s="204"/>
      <c r="G24" s="209"/>
      <c r="H24" s="160" t="s">
        <v>75</v>
      </c>
      <c r="I24" s="161">
        <f>120-I23</f>
        <v>2.6879999999999882</v>
      </c>
      <c r="J24" s="161">
        <f>J23-90</f>
        <v>7.3751668871519911</v>
      </c>
      <c r="K24" s="161"/>
      <c r="L24" s="225">
        <f>L23</f>
        <v>0.14404504047299582</v>
      </c>
      <c r="M24" s="226"/>
      <c r="N24" s="200"/>
      <c r="O24" s="160" t="s">
        <v>75</v>
      </c>
      <c r="P24" s="161">
        <f>P23</f>
        <v>8.5929999999999964</v>
      </c>
      <c r="Q24" s="161">
        <f>Q23</f>
        <v>0.28467689876302416</v>
      </c>
      <c r="R24" s="161">
        <f>R23</f>
        <v>3.0017118261949918</v>
      </c>
      <c r="S24" s="161">
        <f>S23</f>
        <v>11.774165059670992</v>
      </c>
      <c r="T24" s="162"/>
      <c r="U24" s="200"/>
      <c r="V24" s="160" t="s">
        <v>75</v>
      </c>
      <c r="W24" s="161">
        <f>W23</f>
        <v>13.814000000000004</v>
      </c>
      <c r="X24" s="161">
        <f>X23</f>
        <v>15.65170613251999</v>
      </c>
      <c r="Y24" s="161">
        <f>Y23</f>
        <v>16.771678668416001</v>
      </c>
      <c r="Z24" s="161"/>
      <c r="AA24" s="162"/>
      <c r="AB24" s="200"/>
      <c r="AC24" s="160" t="s">
        <v>75</v>
      </c>
      <c r="AD24" s="161">
        <f>AD23-90</f>
        <v>4.0330000000000013</v>
      </c>
      <c r="AE24" s="161">
        <f>120-AE23</f>
        <v>0.9599361208439916</v>
      </c>
      <c r="AF24" s="161">
        <f>120-AF23</f>
        <v>5.4573014761940328</v>
      </c>
      <c r="AG24" s="161">
        <f>AG23-120</f>
        <v>2.9376304642079845</v>
      </c>
      <c r="AH24" s="162"/>
      <c r="AI24" s="200"/>
      <c r="AJ24" s="160" t="s">
        <v>75</v>
      </c>
      <c r="AK24" s="161">
        <f>AK23</f>
        <v>0.67600000000000193</v>
      </c>
      <c r="AL24" s="161">
        <f>AL23</f>
        <v>0.31116465413799688</v>
      </c>
      <c r="AM24" s="161">
        <f>AM23</f>
        <v>0.13821886318896759</v>
      </c>
      <c r="AN24" s="161">
        <f>AN23</f>
        <v>1.0575603153080237</v>
      </c>
      <c r="AO24" s="162"/>
      <c r="AP24" s="205"/>
      <c r="AQ24" s="1453" t="s">
        <v>105</v>
      </c>
      <c r="AR24" s="204"/>
      <c r="AS24" s="14"/>
      <c r="AT24" s="204"/>
      <c r="AU24" s="204"/>
      <c r="AV24" s="40"/>
      <c r="AW24" s="40"/>
      <c r="AX24" s="202"/>
      <c r="AY24" s="202"/>
      <c r="AZ24" s="202"/>
      <c r="BA24" s="202"/>
      <c r="BB24" s="202"/>
      <c r="BC24" s="40"/>
      <c r="BD24" s="203"/>
      <c r="BE24" s="40"/>
      <c r="BF24" s="40"/>
      <c r="BG24" s="40"/>
      <c r="BH24" s="40"/>
      <c r="BI24" s="40"/>
      <c r="BJ24" s="40"/>
      <c r="BK24" s="40"/>
    </row>
    <row r="25" spans="1:63" ht="15" customHeight="1" x14ac:dyDescent="0.15">
      <c r="A25" s="13"/>
      <c r="B25" s="208"/>
      <c r="C25" s="204"/>
      <c r="D25" s="204"/>
      <c r="E25" s="204"/>
      <c r="F25" s="204"/>
      <c r="G25" s="209"/>
      <c r="H25" s="165" t="s">
        <v>76</v>
      </c>
      <c r="I25" s="166"/>
      <c r="J25" s="166"/>
      <c r="K25" s="166"/>
      <c r="L25" s="2107"/>
      <c r="M25" s="167"/>
      <c r="N25" s="227"/>
      <c r="O25" s="165" t="s">
        <v>76</v>
      </c>
      <c r="P25" s="166"/>
      <c r="Q25" s="166"/>
      <c r="R25" s="166"/>
      <c r="S25" s="166"/>
      <c r="T25" s="228"/>
      <c r="U25" s="229"/>
      <c r="V25" s="165" t="s">
        <v>76</v>
      </c>
      <c r="W25" s="166"/>
      <c r="X25" s="166"/>
      <c r="Y25" s="166"/>
      <c r="Z25" s="166"/>
      <c r="AA25" s="167"/>
      <c r="AB25" s="229"/>
      <c r="AC25" s="165" t="s">
        <v>76</v>
      </c>
      <c r="AD25" s="166"/>
      <c r="AE25" s="166"/>
      <c r="AF25" s="166"/>
      <c r="AG25" s="166"/>
      <c r="AH25" s="228"/>
      <c r="AI25" s="229"/>
      <c r="AJ25" s="165" t="s">
        <v>76</v>
      </c>
      <c r="AK25" s="166"/>
      <c r="AL25" s="166"/>
      <c r="AM25" s="166"/>
      <c r="AN25" s="166"/>
      <c r="AO25" s="170"/>
      <c r="AP25" s="205"/>
      <c r="AQ25" s="204"/>
      <c r="AR25" s="204"/>
      <c r="AS25" s="14"/>
      <c r="AT25" s="204"/>
      <c r="AU25" s="204"/>
      <c r="AV25" s="40"/>
      <c r="AW25" s="40"/>
      <c r="AX25" s="206"/>
      <c r="AY25" s="206"/>
      <c r="AZ25" s="206"/>
      <c r="BA25" s="206"/>
      <c r="BB25" s="206"/>
      <c r="BC25" s="40"/>
      <c r="BD25" s="207"/>
      <c r="BE25" s="40"/>
      <c r="BF25" s="40"/>
      <c r="BG25" s="40"/>
      <c r="BH25" s="40"/>
      <c r="BI25" s="40"/>
      <c r="BJ25" s="40"/>
      <c r="BK25" s="40"/>
    </row>
    <row r="26" spans="1:63" ht="15" customHeight="1" x14ac:dyDescent="0.15">
      <c r="A26" s="13"/>
      <c r="B26" s="208"/>
      <c r="C26" s="208"/>
      <c r="D26" s="1453" t="s">
        <v>107</v>
      </c>
      <c r="E26" s="208"/>
      <c r="F26" s="208"/>
      <c r="G26" s="209"/>
      <c r="H26" s="173" t="s">
        <v>80</v>
      </c>
      <c r="I26" s="1788"/>
      <c r="J26" s="1788"/>
      <c r="K26" s="1788"/>
      <c r="L26" s="2108"/>
      <c r="M26" s="1791"/>
      <c r="N26" s="230"/>
      <c r="O26" s="173" t="s">
        <v>80</v>
      </c>
      <c r="P26" s="1788"/>
      <c r="Q26" s="1788"/>
      <c r="R26" s="1788"/>
      <c r="S26" s="1788"/>
      <c r="T26" s="1804"/>
      <c r="U26" s="230"/>
      <c r="V26" s="173" t="s">
        <v>80</v>
      </c>
      <c r="W26" s="1788"/>
      <c r="X26" s="1788"/>
      <c r="Y26" s="1788"/>
      <c r="Z26" s="1788"/>
      <c r="AA26" s="1803"/>
      <c r="AB26" s="230"/>
      <c r="AC26" s="173" t="s">
        <v>80</v>
      </c>
      <c r="AD26" s="1788"/>
      <c r="AE26" s="1788"/>
      <c r="AF26" s="1788"/>
      <c r="AG26" s="1788"/>
      <c r="AH26" s="1803"/>
      <c r="AI26" s="230"/>
      <c r="AJ26" s="173" t="s">
        <v>80</v>
      </c>
      <c r="AK26" s="1788"/>
      <c r="AL26" s="1788"/>
      <c r="AM26" s="1788"/>
      <c r="AN26" s="1788"/>
      <c r="AO26" s="1806"/>
      <c r="AP26" s="211"/>
      <c r="AQ26" s="1452" t="s">
        <v>106</v>
      </c>
      <c r="AR26" s="208"/>
      <c r="AS26" s="14"/>
      <c r="AT26" s="208"/>
      <c r="AU26" s="208"/>
      <c r="AV26" s="40"/>
      <c r="AW26" s="40"/>
      <c r="AX26" s="212"/>
      <c r="AY26" s="212"/>
      <c r="AZ26" s="212"/>
      <c r="BA26" s="212"/>
      <c r="BB26" s="212"/>
      <c r="BC26" s="40"/>
      <c r="BD26" s="213"/>
      <c r="BE26" s="40"/>
      <c r="BF26" s="40"/>
      <c r="BG26" s="40"/>
      <c r="BH26" s="40"/>
      <c r="BI26" s="40"/>
      <c r="BJ26" s="40"/>
      <c r="BK26" s="40"/>
    </row>
    <row r="27" spans="1:63" ht="15" customHeight="1" x14ac:dyDescent="0.15">
      <c r="A27" s="13"/>
      <c r="B27" s="208"/>
      <c r="C27" s="208"/>
      <c r="D27" s="208"/>
      <c r="E27" s="208"/>
      <c r="F27" s="208"/>
      <c r="G27" s="209"/>
      <c r="H27" s="173" t="s">
        <v>85</v>
      </c>
      <c r="I27" s="1788"/>
      <c r="J27" s="1788"/>
      <c r="K27" s="1788"/>
      <c r="L27" s="2108"/>
      <c r="M27" s="1791"/>
      <c r="N27" s="230"/>
      <c r="O27" s="173" t="s">
        <v>85</v>
      </c>
      <c r="P27" s="1788"/>
      <c r="Q27" s="1788"/>
      <c r="R27" s="1788"/>
      <c r="S27" s="1788"/>
      <c r="T27" s="1804"/>
      <c r="U27" s="230"/>
      <c r="V27" s="173" t="s">
        <v>85</v>
      </c>
      <c r="W27" s="1788"/>
      <c r="X27" s="1788"/>
      <c r="Y27" s="1788"/>
      <c r="Z27" s="1788"/>
      <c r="AA27" s="1803"/>
      <c r="AB27" s="230"/>
      <c r="AC27" s="173" t="s">
        <v>85</v>
      </c>
      <c r="AD27" s="1788"/>
      <c r="AE27" s="1788"/>
      <c r="AF27" s="1788"/>
      <c r="AG27" s="1788"/>
      <c r="AH27" s="1803"/>
      <c r="AI27" s="230"/>
      <c r="AJ27" s="173" t="s">
        <v>85</v>
      </c>
      <c r="AK27" s="1788"/>
      <c r="AL27" s="1788"/>
      <c r="AM27" s="1788"/>
      <c r="AN27" s="1788"/>
      <c r="AO27" s="1806"/>
      <c r="AP27" s="211"/>
      <c r="AQ27" s="204"/>
      <c r="AR27" s="208"/>
      <c r="AS27" s="14"/>
      <c r="AT27" s="208"/>
      <c r="AU27" s="208"/>
      <c r="AV27" s="40"/>
      <c r="AW27" s="40"/>
      <c r="AX27" s="40"/>
      <c r="AY27" s="40"/>
      <c r="AZ27" s="40"/>
      <c r="BA27" s="40"/>
      <c r="BB27" s="40"/>
      <c r="BC27" s="40"/>
      <c r="BD27" s="213"/>
      <c r="BE27" s="40"/>
      <c r="BF27" s="40"/>
      <c r="BG27" s="40"/>
      <c r="BH27" s="40"/>
      <c r="BI27" s="40"/>
      <c r="BJ27" s="40"/>
      <c r="BK27" s="40"/>
    </row>
    <row r="28" spans="1:63" ht="15" customHeight="1" x14ac:dyDescent="0.15">
      <c r="A28" s="13"/>
      <c r="B28" s="208"/>
      <c r="C28" s="208"/>
      <c r="D28" s="1452" t="s">
        <v>113</v>
      </c>
      <c r="E28" s="208"/>
      <c r="F28" s="208"/>
      <c r="G28" s="209"/>
      <c r="H28" s="173" t="s">
        <v>90</v>
      </c>
      <c r="I28" s="1788"/>
      <c r="J28" s="1788"/>
      <c r="K28" s="1788"/>
      <c r="L28" s="2108"/>
      <c r="M28" s="1791"/>
      <c r="N28" s="230"/>
      <c r="O28" s="173" t="s">
        <v>90</v>
      </c>
      <c r="P28" s="1788"/>
      <c r="Q28" s="1788"/>
      <c r="R28" s="1788"/>
      <c r="S28" s="1788"/>
      <c r="T28" s="1804"/>
      <c r="U28" s="230"/>
      <c r="V28" s="173" t="s">
        <v>90</v>
      </c>
      <c r="W28" s="1788"/>
      <c r="X28" s="1788"/>
      <c r="Y28" s="1788"/>
      <c r="Z28" s="1788"/>
      <c r="AA28" s="1803"/>
      <c r="AB28" s="230"/>
      <c r="AC28" s="173" t="s">
        <v>90</v>
      </c>
      <c r="AD28" s="1788"/>
      <c r="AE28" s="1788"/>
      <c r="AF28" s="1788"/>
      <c r="AG28" s="1788"/>
      <c r="AH28" s="1803"/>
      <c r="AI28" s="230"/>
      <c r="AJ28" s="173" t="s">
        <v>90</v>
      </c>
      <c r="AK28" s="1788"/>
      <c r="AL28" s="1788"/>
      <c r="AM28" s="1788"/>
      <c r="AN28" s="1788"/>
      <c r="AO28" s="1806"/>
      <c r="AP28" s="211"/>
      <c r="AQ28" s="1453" t="s">
        <v>107</v>
      </c>
      <c r="AR28" s="208"/>
      <c r="AS28" s="208"/>
      <c r="AT28" s="208"/>
      <c r="AU28" s="208"/>
      <c r="AV28" s="40"/>
      <c r="AW28" s="40"/>
      <c r="AX28" s="40"/>
      <c r="AY28" s="40"/>
      <c r="AZ28" s="40"/>
      <c r="BA28" s="40"/>
      <c r="BB28" s="40"/>
      <c r="BC28" s="40"/>
      <c r="BD28" s="213"/>
      <c r="BE28" s="40"/>
      <c r="BF28" s="40"/>
      <c r="BG28" s="40"/>
      <c r="BH28" s="40"/>
      <c r="BI28" s="40"/>
      <c r="BJ28" s="40"/>
      <c r="BK28" s="40"/>
    </row>
    <row r="29" spans="1:63" ht="15" customHeight="1" x14ac:dyDescent="0.15">
      <c r="A29" s="13"/>
      <c r="B29" s="215"/>
      <c r="C29" s="208"/>
      <c r="D29" s="208"/>
      <c r="E29" s="208"/>
      <c r="F29" s="208"/>
      <c r="G29" s="209"/>
      <c r="H29" s="173" t="s">
        <v>95</v>
      </c>
      <c r="I29" s="1788"/>
      <c r="J29" s="1788"/>
      <c r="K29" s="1788"/>
      <c r="L29" s="2108"/>
      <c r="M29" s="1791"/>
      <c r="N29" s="230"/>
      <c r="O29" s="173" t="s">
        <v>95</v>
      </c>
      <c r="P29" s="1788"/>
      <c r="Q29" s="1788"/>
      <c r="R29" s="1788"/>
      <c r="S29" s="1788"/>
      <c r="T29" s="1804"/>
      <c r="U29" s="230"/>
      <c r="V29" s="173" t="s">
        <v>95</v>
      </c>
      <c r="W29" s="1788"/>
      <c r="X29" s="1788"/>
      <c r="Y29" s="1788"/>
      <c r="Z29" s="1788"/>
      <c r="AA29" s="1803"/>
      <c r="AB29" s="230"/>
      <c r="AC29" s="173" t="s">
        <v>95</v>
      </c>
      <c r="AD29" s="1788"/>
      <c r="AE29" s="1788"/>
      <c r="AF29" s="1788"/>
      <c r="AG29" s="1788"/>
      <c r="AH29" s="1803"/>
      <c r="AI29" s="230"/>
      <c r="AJ29" s="173" t="s">
        <v>95</v>
      </c>
      <c r="AK29" s="1788"/>
      <c r="AL29" s="1788"/>
      <c r="AM29" s="1788"/>
      <c r="AN29" s="1788"/>
      <c r="AO29" s="1806"/>
      <c r="AP29" s="211"/>
      <c r="AQ29" s="208"/>
      <c r="AR29" s="208"/>
      <c r="AS29" s="208"/>
      <c r="AT29" s="208"/>
      <c r="AU29" s="208"/>
      <c r="AV29" s="40"/>
      <c r="AW29" s="40"/>
      <c r="AX29" s="40"/>
      <c r="AY29" s="40"/>
      <c r="AZ29" s="40"/>
      <c r="BA29" s="40"/>
      <c r="BB29" s="40"/>
      <c r="BC29" s="40"/>
      <c r="BD29" s="213"/>
      <c r="BE29" s="40"/>
      <c r="BF29" s="40"/>
      <c r="BG29" s="40"/>
      <c r="BH29" s="40"/>
      <c r="BI29" s="40"/>
      <c r="BJ29" s="40"/>
      <c r="BK29" s="40"/>
    </row>
    <row r="30" spans="1:63" ht="15" customHeight="1" x14ac:dyDescent="0.15">
      <c r="A30" s="13"/>
      <c r="B30" s="40"/>
      <c r="C30" s="215"/>
      <c r="D30" s="1453" t="s">
        <v>72</v>
      </c>
      <c r="E30" s="215"/>
      <c r="F30" s="215"/>
      <c r="G30" s="209"/>
      <c r="H30" s="183" t="s">
        <v>100</v>
      </c>
      <c r="I30" s="1789"/>
      <c r="J30" s="1789"/>
      <c r="K30" s="1789"/>
      <c r="L30" s="2109"/>
      <c r="M30" s="1794"/>
      <c r="N30" s="231"/>
      <c r="O30" s="183" t="s">
        <v>100</v>
      </c>
      <c r="P30" s="1789"/>
      <c r="Q30" s="1789"/>
      <c r="R30" s="1789"/>
      <c r="S30" s="1789"/>
      <c r="T30" s="1793"/>
      <c r="U30" s="231"/>
      <c r="V30" s="183" t="s">
        <v>100</v>
      </c>
      <c r="W30" s="1789"/>
      <c r="X30" s="1789"/>
      <c r="Y30" s="1789"/>
      <c r="Z30" s="1789"/>
      <c r="AA30" s="1793"/>
      <c r="AB30" s="231"/>
      <c r="AC30" s="183" t="s">
        <v>100</v>
      </c>
      <c r="AD30" s="1789"/>
      <c r="AE30" s="1789"/>
      <c r="AF30" s="1789"/>
      <c r="AG30" s="1789"/>
      <c r="AH30" s="1793"/>
      <c r="AI30" s="231"/>
      <c r="AJ30" s="183" t="s">
        <v>100</v>
      </c>
      <c r="AK30" s="1789"/>
      <c r="AL30" s="1792"/>
      <c r="AM30" s="1792"/>
      <c r="AN30" s="1792"/>
      <c r="AO30" s="1793"/>
      <c r="AP30" s="216"/>
      <c r="AQ30" s="1452" t="s">
        <v>113</v>
      </c>
      <c r="AR30" s="215"/>
      <c r="AS30" s="215"/>
      <c r="AT30" s="215"/>
      <c r="AU30" s="215"/>
      <c r="AV30" s="40"/>
      <c r="AW30" s="40"/>
      <c r="AX30" s="186"/>
      <c r="AY30" s="186"/>
      <c r="AZ30" s="186"/>
      <c r="BA30" s="186"/>
      <c r="BB30" s="186"/>
      <c r="BC30" s="40"/>
      <c r="BD30" s="217"/>
      <c r="BE30" s="40"/>
      <c r="BF30" s="40"/>
      <c r="BG30" s="40"/>
      <c r="BH30" s="40"/>
      <c r="BI30" s="40"/>
      <c r="BJ30" s="40"/>
      <c r="BK30" s="40"/>
    </row>
    <row r="31" spans="1:63" ht="24.75" customHeight="1" x14ac:dyDescent="0.25">
      <c r="A31" s="13"/>
      <c r="B31" s="204"/>
      <c r="C31" s="40"/>
      <c r="D31" s="40"/>
      <c r="E31" s="40"/>
      <c r="F31" s="40"/>
      <c r="G31" s="218"/>
      <c r="H31" s="1992" t="s">
        <v>115</v>
      </c>
      <c r="I31" s="1453" t="s">
        <v>105</v>
      </c>
      <c r="J31" s="1453" t="s">
        <v>105</v>
      </c>
      <c r="K31" s="1453" t="s">
        <v>105</v>
      </c>
      <c r="L31" s="1455" t="s">
        <v>63</v>
      </c>
      <c r="M31" s="191"/>
      <c r="N31" s="220"/>
      <c r="O31" s="2000" t="s">
        <v>116</v>
      </c>
      <c r="P31" s="1451" t="s">
        <v>68</v>
      </c>
      <c r="Q31" s="1451" t="s">
        <v>68</v>
      </c>
      <c r="R31" s="1451" t="s">
        <v>68</v>
      </c>
      <c r="S31" s="1455" t="s">
        <v>63</v>
      </c>
      <c r="T31" s="143"/>
      <c r="U31" s="139"/>
      <c r="V31" s="1998" t="s">
        <v>117</v>
      </c>
      <c r="W31" s="1451" t="s">
        <v>68</v>
      </c>
      <c r="X31" s="1451" t="s">
        <v>68</v>
      </c>
      <c r="Y31" s="1451" t="s">
        <v>68</v>
      </c>
      <c r="Z31" s="1452" t="s">
        <v>69</v>
      </c>
      <c r="AA31" s="141"/>
      <c r="AB31" s="142"/>
      <c r="AC31" s="2003" t="s">
        <v>396</v>
      </c>
      <c r="AD31" s="1455" t="s">
        <v>63</v>
      </c>
      <c r="AE31" s="1453" t="s">
        <v>72</v>
      </c>
      <c r="AF31" s="1453" t="s">
        <v>72</v>
      </c>
      <c r="AG31" s="1453" t="s">
        <v>107</v>
      </c>
      <c r="AH31" s="192"/>
      <c r="AI31" s="220"/>
      <c r="AJ31" s="2006" t="s">
        <v>118</v>
      </c>
      <c r="AK31" s="1451" t="s">
        <v>68</v>
      </c>
      <c r="AL31" s="1451" t="s">
        <v>68</v>
      </c>
      <c r="AM31" s="1451" t="s">
        <v>68</v>
      </c>
      <c r="AN31" s="1452" t="s">
        <v>69</v>
      </c>
      <c r="AO31" s="145"/>
      <c r="AP31" s="222"/>
      <c r="AQ31" s="208"/>
      <c r="AR31" s="40"/>
      <c r="AS31" s="40"/>
      <c r="AT31" s="40"/>
      <c r="AU31" s="40"/>
      <c r="AV31" s="40"/>
      <c r="AW31" s="40"/>
      <c r="AX31" s="197"/>
      <c r="AY31" s="197"/>
      <c r="AZ31" s="197"/>
      <c r="BA31" s="197"/>
      <c r="BB31" s="197"/>
      <c r="BC31" s="40"/>
      <c r="BD31" s="122"/>
      <c r="BE31" s="40"/>
      <c r="BF31" s="40"/>
      <c r="BG31" s="40"/>
      <c r="BH31" s="40"/>
      <c r="BI31" s="40"/>
      <c r="BJ31" s="40"/>
      <c r="BK31" s="40"/>
    </row>
    <row r="32" spans="1:63" ht="15" customHeight="1" x14ac:dyDescent="0.2">
      <c r="A32" s="13"/>
      <c r="B32" s="204"/>
      <c r="C32" s="204"/>
      <c r="D32" s="204"/>
      <c r="E32" s="204"/>
      <c r="F32" s="204"/>
      <c r="G32" s="209"/>
      <c r="H32" s="152" t="s">
        <v>73</v>
      </c>
      <c r="I32" s="153">
        <f>Aspects!G12</f>
        <v>127.70000000000005</v>
      </c>
      <c r="J32" s="153">
        <f>Aspects!G11</f>
        <v>111.48716684106698</v>
      </c>
      <c r="K32" s="153">
        <f>Aspects!G10</f>
        <v>115.03503520589899</v>
      </c>
      <c r="L32" s="153">
        <f>Aspects!G9</f>
        <v>157.00279903740298</v>
      </c>
      <c r="M32" s="154"/>
      <c r="N32" s="200"/>
      <c r="O32" s="152" t="s">
        <v>73</v>
      </c>
      <c r="P32" s="153">
        <f>Aspects!G17</f>
        <v>10.972999999999999</v>
      </c>
      <c r="Q32" s="153">
        <f>Aspects!G16</f>
        <v>14.739409861647999</v>
      </c>
      <c r="R32" s="153">
        <f>Aspects!G15</f>
        <v>14.570739477296996</v>
      </c>
      <c r="S32" s="153">
        <f>Aspects!G14</f>
        <v>158.093687629318</v>
      </c>
      <c r="T32" s="154"/>
      <c r="U32" s="232"/>
      <c r="V32" s="152" t="s">
        <v>73</v>
      </c>
      <c r="W32" s="153">
        <f>Aspects!H27</f>
        <v>12.214999999999996</v>
      </c>
      <c r="X32" s="153">
        <f>Aspects!H26</f>
        <v>14.031119768238995</v>
      </c>
      <c r="Y32" s="153">
        <f>Aspects!H25</f>
        <v>14.822661850548997</v>
      </c>
      <c r="Z32" s="153">
        <f>Aspects!H24</f>
        <v>162.50971855039199</v>
      </c>
      <c r="AA32" s="154"/>
      <c r="AB32" s="200"/>
      <c r="AC32" s="152" t="s">
        <v>73</v>
      </c>
      <c r="AD32" s="153">
        <f>Aspects!G22</f>
        <v>24.787000000000003</v>
      </c>
      <c r="AE32" s="153">
        <f>Aspects!G21</f>
        <v>30.39111599416799</v>
      </c>
      <c r="AF32" s="153">
        <f>Aspects!G20</f>
        <v>31.342418145712998</v>
      </c>
      <c r="AG32" s="153">
        <f>Aspects!G19</f>
        <v>64.759627199047998</v>
      </c>
      <c r="AH32" s="154"/>
      <c r="AI32" s="200"/>
      <c r="AJ32" s="152" t="s">
        <v>73</v>
      </c>
      <c r="AK32" s="153">
        <f>Aspects!L17</f>
        <v>19.565999999999995</v>
      </c>
      <c r="AL32" s="153">
        <f>Aspects!L16</f>
        <v>15.024086760411024</v>
      </c>
      <c r="AM32" s="153">
        <f>Aspects!L15</f>
        <v>11.569027651102004</v>
      </c>
      <c r="AN32" s="153">
        <f>Aspects!L14</f>
        <v>190.13214731101101</v>
      </c>
      <c r="AO32" s="157"/>
      <c r="AP32" s="205"/>
      <c r="AQ32" s="1453" t="s">
        <v>72</v>
      </c>
      <c r="AR32" s="204"/>
      <c r="AS32" s="204"/>
      <c r="AT32" s="204"/>
      <c r="AU32" s="204"/>
      <c r="AV32" s="40"/>
      <c r="AW32" s="40"/>
      <c r="AX32" s="202"/>
      <c r="AY32" s="202"/>
      <c r="AZ32" s="202"/>
      <c r="BA32" s="202"/>
      <c r="BB32" s="202"/>
      <c r="BC32" s="40"/>
      <c r="BD32" s="203"/>
      <c r="BE32" s="40"/>
      <c r="BF32" s="40"/>
      <c r="BG32" s="40"/>
      <c r="BH32" s="40"/>
      <c r="BI32" s="40"/>
      <c r="BJ32" s="40"/>
      <c r="BK32" s="40"/>
    </row>
    <row r="33" spans="1:63" ht="15" customHeight="1" x14ac:dyDescent="0.2">
      <c r="A33" s="13"/>
      <c r="B33" s="204"/>
      <c r="C33" s="204"/>
      <c r="D33" s="204"/>
      <c r="E33" s="204"/>
      <c r="F33" s="204"/>
      <c r="G33" s="209"/>
      <c r="H33" s="160" t="s">
        <v>75</v>
      </c>
      <c r="I33" s="161">
        <f>I32-120</f>
        <v>7.7000000000000455</v>
      </c>
      <c r="J33" s="161">
        <f>120-J32</f>
        <v>8.5128331589330202</v>
      </c>
      <c r="K33" s="161">
        <f>120-K32</f>
        <v>4.9649647941010073</v>
      </c>
      <c r="L33" s="161"/>
      <c r="M33" s="162"/>
      <c r="N33" s="200"/>
      <c r="O33" s="160" t="s">
        <v>75</v>
      </c>
      <c r="P33" s="161">
        <f>P32</f>
        <v>10.972999999999999</v>
      </c>
      <c r="Q33" s="161">
        <f>Q32</f>
        <v>14.739409861647999</v>
      </c>
      <c r="R33" s="161">
        <f>R32</f>
        <v>14.570739477296996</v>
      </c>
      <c r="S33" s="161"/>
      <c r="T33" s="162"/>
      <c r="U33" s="232"/>
      <c r="V33" s="160" t="s">
        <v>75</v>
      </c>
      <c r="W33" s="161">
        <f>W32</f>
        <v>12.214999999999996</v>
      </c>
      <c r="X33" s="161">
        <f>X32</f>
        <v>14.031119768238995</v>
      </c>
      <c r="Y33" s="161">
        <f>Y32</f>
        <v>14.822661850548997</v>
      </c>
      <c r="Z33" s="161">
        <f>180-Z32</f>
        <v>17.490281449608005</v>
      </c>
      <c r="AA33" s="162"/>
      <c r="AB33" s="200"/>
      <c r="AC33" s="160" t="s">
        <v>75</v>
      </c>
      <c r="AD33" s="161"/>
      <c r="AE33" s="161">
        <f>AE32-30</f>
        <v>0.39111599416798981</v>
      </c>
      <c r="AF33" s="161">
        <f>AF32-30</f>
        <v>1.3424181457129976</v>
      </c>
      <c r="AG33" s="161">
        <f>AG32-60</f>
        <v>4.7596271990479977</v>
      </c>
      <c r="AH33" s="162"/>
      <c r="AI33" s="200"/>
      <c r="AJ33" s="160" t="s">
        <v>75</v>
      </c>
      <c r="AK33" s="161">
        <f>AK32</f>
        <v>19.565999999999995</v>
      </c>
      <c r="AL33" s="161">
        <f>AL32</f>
        <v>15.024086760411024</v>
      </c>
      <c r="AM33" s="161">
        <f>AM32</f>
        <v>11.569027651102004</v>
      </c>
      <c r="AN33" s="161">
        <f>AN32-180</f>
        <v>10.132147311011011</v>
      </c>
      <c r="AO33" s="163"/>
      <c r="AP33" s="205"/>
      <c r="AQ33" s="204"/>
      <c r="AR33" s="204"/>
      <c r="AS33" s="204"/>
      <c r="AT33" s="204"/>
      <c r="AU33" s="204"/>
      <c r="AV33" s="40"/>
      <c r="AW33" s="40"/>
      <c r="AX33" s="202"/>
      <c r="AY33" s="202"/>
      <c r="AZ33" s="202"/>
      <c r="BA33" s="202"/>
      <c r="BB33" s="202"/>
      <c r="BC33" s="40"/>
      <c r="BD33" s="203"/>
      <c r="BE33" s="40"/>
      <c r="BF33" s="40"/>
      <c r="BG33" s="40"/>
      <c r="BH33" s="40"/>
      <c r="BI33" s="40"/>
      <c r="BJ33" s="40"/>
      <c r="BK33" s="40"/>
    </row>
    <row r="34" spans="1:63" ht="15" customHeight="1" x14ac:dyDescent="0.15">
      <c r="A34" s="13"/>
      <c r="B34" s="208"/>
      <c r="C34" s="204"/>
      <c r="D34" s="204"/>
      <c r="E34" s="204"/>
      <c r="F34" s="204"/>
      <c r="G34" s="209"/>
      <c r="H34" s="165" t="s">
        <v>76</v>
      </c>
      <c r="I34" s="166"/>
      <c r="J34" s="166"/>
      <c r="K34" s="166"/>
      <c r="L34" s="166"/>
      <c r="M34" s="167"/>
      <c r="N34" s="168"/>
      <c r="O34" s="165" t="s">
        <v>76</v>
      </c>
      <c r="P34" s="166"/>
      <c r="Q34" s="166"/>
      <c r="R34" s="166"/>
      <c r="S34" s="166"/>
      <c r="T34" s="167"/>
      <c r="U34" s="169"/>
      <c r="V34" s="165" t="s">
        <v>76</v>
      </c>
      <c r="W34" s="166"/>
      <c r="X34" s="166"/>
      <c r="Y34" s="166"/>
      <c r="Z34" s="166"/>
      <c r="AA34" s="167"/>
      <c r="AB34" s="169"/>
      <c r="AC34" s="165" t="s">
        <v>76</v>
      </c>
      <c r="AD34" s="166"/>
      <c r="AE34" s="166"/>
      <c r="AF34" s="166"/>
      <c r="AG34" s="166"/>
      <c r="AH34" s="167"/>
      <c r="AI34" s="169"/>
      <c r="AJ34" s="165" t="s">
        <v>76</v>
      </c>
      <c r="AK34" s="166"/>
      <c r="AL34" s="166"/>
      <c r="AM34" s="166"/>
      <c r="AN34" s="166"/>
      <c r="AO34" s="170"/>
      <c r="AP34" s="205"/>
      <c r="AQ34" s="204"/>
      <c r="AR34" s="204"/>
      <c r="AS34" s="204"/>
      <c r="AT34" s="204"/>
      <c r="AU34" s="204"/>
      <c r="AV34" s="40"/>
      <c r="AW34" s="40"/>
      <c r="AX34" s="206"/>
      <c r="AY34" s="206"/>
      <c r="AZ34" s="206"/>
      <c r="BA34" s="206"/>
      <c r="BB34" s="206"/>
      <c r="BC34" s="40"/>
      <c r="BD34" s="207"/>
      <c r="BE34" s="40"/>
      <c r="BF34" s="40"/>
      <c r="BG34" s="40"/>
      <c r="BH34" s="40"/>
      <c r="BI34" s="40"/>
      <c r="BJ34" s="40"/>
      <c r="BK34" s="40"/>
    </row>
    <row r="35" spans="1:63" ht="15" customHeight="1" x14ac:dyDescent="0.15">
      <c r="A35" s="13"/>
      <c r="B35" s="208"/>
      <c r="C35" s="208"/>
      <c r="D35" s="208"/>
      <c r="E35" s="208"/>
      <c r="F35" s="208"/>
      <c r="G35" s="209"/>
      <c r="H35" s="173" t="s">
        <v>80</v>
      </c>
      <c r="I35" s="1788"/>
      <c r="J35" s="1788"/>
      <c r="K35" s="1788"/>
      <c r="L35" s="1788"/>
      <c r="M35" s="1796"/>
      <c r="N35" s="230"/>
      <c r="O35" s="173" t="s">
        <v>80</v>
      </c>
      <c r="P35" s="1799"/>
      <c r="Q35" s="1799"/>
      <c r="R35" s="1799"/>
      <c r="S35" s="1799"/>
      <c r="T35" s="1795"/>
      <c r="U35" s="230"/>
      <c r="V35" s="173" t="s">
        <v>80</v>
      </c>
      <c r="W35" s="1799"/>
      <c r="X35" s="1799"/>
      <c r="Y35" s="1799"/>
      <c r="Z35" s="1799"/>
      <c r="AA35" s="1801"/>
      <c r="AB35" s="230"/>
      <c r="AC35" s="173" t="s">
        <v>80</v>
      </c>
      <c r="AD35" s="1788"/>
      <c r="AE35" s="1788"/>
      <c r="AF35" s="1788"/>
      <c r="AG35" s="1788"/>
      <c r="AH35" s="1804"/>
      <c r="AI35" s="230"/>
      <c r="AJ35" s="173" t="s">
        <v>80</v>
      </c>
      <c r="AK35" s="1788"/>
      <c r="AL35" s="1788"/>
      <c r="AM35" s="1788"/>
      <c r="AN35" s="1788"/>
      <c r="AO35" s="1806"/>
      <c r="AP35" s="211"/>
      <c r="AQ35" s="208"/>
      <c r="AR35" s="208"/>
      <c r="AS35" s="208"/>
      <c r="AT35" s="208"/>
      <c r="AU35" s="208"/>
      <c r="AV35" s="40"/>
      <c r="AW35" s="40"/>
      <c r="AX35" s="212"/>
      <c r="AY35" s="212"/>
      <c r="AZ35" s="212"/>
      <c r="BA35" s="212"/>
      <c r="BB35" s="212"/>
      <c r="BC35" s="40"/>
      <c r="BD35" s="213"/>
      <c r="BE35" s="40"/>
      <c r="BF35" s="40"/>
      <c r="BG35" s="40"/>
      <c r="BH35" s="40"/>
      <c r="BI35" s="40"/>
      <c r="BJ35" s="40"/>
      <c r="BK35" s="40"/>
    </row>
    <row r="36" spans="1:63" ht="15" customHeight="1" x14ac:dyDescent="0.15">
      <c r="A36" s="13"/>
      <c r="B36" s="208"/>
      <c r="C36" s="208"/>
      <c r="D36" s="208"/>
      <c r="E36" s="208"/>
      <c r="F36" s="208"/>
      <c r="G36" s="209"/>
      <c r="H36" s="173" t="s">
        <v>85</v>
      </c>
      <c r="I36" s="1788"/>
      <c r="J36" s="1788"/>
      <c r="K36" s="1788"/>
      <c r="L36" s="1788"/>
      <c r="M36" s="1796"/>
      <c r="N36" s="230"/>
      <c r="O36" s="173" t="s">
        <v>85</v>
      </c>
      <c r="P36" s="1799"/>
      <c r="Q36" s="1799"/>
      <c r="R36" s="1799"/>
      <c r="S36" s="1799"/>
      <c r="T36" s="1795"/>
      <c r="U36" s="230"/>
      <c r="V36" s="173" t="s">
        <v>85</v>
      </c>
      <c r="W36" s="1799"/>
      <c r="X36" s="1799"/>
      <c r="Y36" s="1799"/>
      <c r="Z36" s="1799"/>
      <c r="AA36" s="1801"/>
      <c r="AB36" s="230"/>
      <c r="AC36" s="173" t="s">
        <v>85</v>
      </c>
      <c r="AD36" s="1788"/>
      <c r="AE36" s="1788"/>
      <c r="AF36" s="1788"/>
      <c r="AG36" s="1788"/>
      <c r="AH36" s="1804"/>
      <c r="AI36" s="230"/>
      <c r="AJ36" s="173" t="s">
        <v>85</v>
      </c>
      <c r="AK36" s="1788"/>
      <c r="AL36" s="1788"/>
      <c r="AM36" s="1788"/>
      <c r="AN36" s="1788"/>
      <c r="AO36" s="1806"/>
      <c r="AP36" s="211"/>
      <c r="AQ36" s="208"/>
      <c r="AR36" s="208"/>
      <c r="AS36" s="208"/>
      <c r="AT36" s="208"/>
      <c r="AU36" s="208"/>
      <c r="AV36" s="40"/>
      <c r="AW36" s="40"/>
      <c r="AX36" s="40"/>
      <c r="AY36" s="40"/>
      <c r="AZ36" s="40"/>
      <c r="BA36" s="40"/>
      <c r="BB36" s="40"/>
      <c r="BC36" s="40"/>
      <c r="BD36" s="213"/>
      <c r="BE36" s="40"/>
      <c r="BF36" s="40"/>
      <c r="BG36" s="40"/>
      <c r="BH36" s="40"/>
      <c r="BI36" s="40"/>
      <c r="BJ36" s="40"/>
      <c r="BK36" s="40"/>
    </row>
    <row r="37" spans="1:63" ht="15" customHeight="1" x14ac:dyDescent="0.15">
      <c r="A37" s="13"/>
      <c r="B37" s="208"/>
      <c r="C37" s="208"/>
      <c r="D37" s="208"/>
      <c r="E37" s="208"/>
      <c r="F37" s="208"/>
      <c r="G37" s="209"/>
      <c r="H37" s="173" t="s">
        <v>90</v>
      </c>
      <c r="I37" s="1788"/>
      <c r="J37" s="1788"/>
      <c r="K37" s="1788"/>
      <c r="L37" s="1788"/>
      <c r="M37" s="1796"/>
      <c r="N37" s="230"/>
      <c r="O37" s="173" t="s">
        <v>90</v>
      </c>
      <c r="P37" s="1799"/>
      <c r="Q37" s="1799"/>
      <c r="R37" s="1799"/>
      <c r="S37" s="1799"/>
      <c r="T37" s="1795"/>
      <c r="U37" s="230"/>
      <c r="V37" s="173" t="s">
        <v>90</v>
      </c>
      <c r="W37" s="1799"/>
      <c r="X37" s="1799"/>
      <c r="Y37" s="1799"/>
      <c r="Z37" s="1799"/>
      <c r="AA37" s="1801"/>
      <c r="AB37" s="230"/>
      <c r="AC37" s="173" t="s">
        <v>90</v>
      </c>
      <c r="AD37" s="1788"/>
      <c r="AE37" s="1788"/>
      <c r="AF37" s="1788"/>
      <c r="AG37" s="1788"/>
      <c r="AH37" s="1804"/>
      <c r="AI37" s="230"/>
      <c r="AJ37" s="173" t="s">
        <v>90</v>
      </c>
      <c r="AK37" s="1788"/>
      <c r="AL37" s="1788"/>
      <c r="AM37" s="1788"/>
      <c r="AN37" s="1788"/>
      <c r="AO37" s="1806"/>
      <c r="AP37" s="211"/>
      <c r="AQ37" s="208"/>
      <c r="AR37" s="208"/>
      <c r="AS37" s="208"/>
      <c r="AT37" s="208"/>
      <c r="AU37" s="208"/>
      <c r="AV37" s="40"/>
      <c r="AW37" s="40"/>
      <c r="AX37" s="40"/>
      <c r="AY37" s="40"/>
      <c r="AZ37" s="40"/>
      <c r="BA37" s="40"/>
      <c r="BB37" s="40"/>
      <c r="BC37" s="40"/>
      <c r="BD37" s="213"/>
      <c r="BE37" s="40"/>
      <c r="BF37" s="40"/>
      <c r="BG37" s="40"/>
      <c r="BH37" s="40"/>
      <c r="BI37" s="40"/>
      <c r="BJ37" s="40"/>
      <c r="BK37" s="40"/>
    </row>
    <row r="38" spans="1:63" ht="15" customHeight="1" x14ac:dyDescent="0.15">
      <c r="A38" s="13"/>
      <c r="B38" s="215"/>
      <c r="C38" s="208"/>
      <c r="D38" s="208"/>
      <c r="E38" s="208"/>
      <c r="F38" s="208"/>
      <c r="G38" s="209"/>
      <c r="H38" s="173" t="s">
        <v>95</v>
      </c>
      <c r="I38" s="1788"/>
      <c r="J38" s="1788"/>
      <c r="K38" s="1788"/>
      <c r="L38" s="1788"/>
      <c r="M38" s="1796"/>
      <c r="N38" s="230"/>
      <c r="O38" s="173" t="s">
        <v>95</v>
      </c>
      <c r="P38" s="1799"/>
      <c r="Q38" s="1799"/>
      <c r="R38" s="1799"/>
      <c r="S38" s="1799"/>
      <c r="T38" s="1795"/>
      <c r="U38" s="230"/>
      <c r="V38" s="173" t="s">
        <v>95</v>
      </c>
      <c r="W38" s="1799"/>
      <c r="X38" s="1799"/>
      <c r="Y38" s="1799"/>
      <c r="Z38" s="1799"/>
      <c r="AA38" s="1801"/>
      <c r="AB38" s="230"/>
      <c r="AC38" s="173" t="s">
        <v>95</v>
      </c>
      <c r="AD38" s="1788"/>
      <c r="AE38" s="1788"/>
      <c r="AF38" s="1788"/>
      <c r="AG38" s="1788"/>
      <c r="AH38" s="1804"/>
      <c r="AI38" s="230"/>
      <c r="AJ38" s="173" t="s">
        <v>95</v>
      </c>
      <c r="AK38" s="1788"/>
      <c r="AL38" s="1788"/>
      <c r="AM38" s="1788"/>
      <c r="AN38" s="1788"/>
      <c r="AO38" s="1806"/>
      <c r="AP38" s="211"/>
      <c r="AQ38" s="208"/>
      <c r="AR38" s="208"/>
      <c r="AS38" s="208"/>
      <c r="AT38" s="208"/>
      <c r="AU38" s="208"/>
      <c r="AV38" s="40"/>
      <c r="AW38" s="40"/>
      <c r="AX38" s="40"/>
      <c r="AY38" s="40"/>
      <c r="AZ38" s="40"/>
      <c r="BA38" s="40"/>
      <c r="BB38" s="40"/>
      <c r="BC38" s="40"/>
      <c r="BD38" s="213"/>
      <c r="BE38" s="40"/>
      <c r="BF38" s="40"/>
      <c r="BG38" s="40"/>
      <c r="BH38" s="40"/>
      <c r="BI38" s="40"/>
      <c r="BJ38" s="40"/>
      <c r="BK38" s="40"/>
    </row>
    <row r="39" spans="1:63" ht="15" customHeight="1" x14ac:dyDescent="0.15">
      <c r="A39" s="13"/>
      <c r="B39" s="40"/>
      <c r="C39" s="215"/>
      <c r="D39" s="215"/>
      <c r="E39" s="215"/>
      <c r="F39" s="215"/>
      <c r="G39" s="209"/>
      <c r="H39" s="183" t="s">
        <v>100</v>
      </c>
      <c r="I39" s="1789"/>
      <c r="J39" s="1789"/>
      <c r="K39" s="1789"/>
      <c r="L39" s="1789"/>
      <c r="M39" s="1793"/>
      <c r="N39" s="231"/>
      <c r="O39" s="183" t="s">
        <v>100</v>
      </c>
      <c r="P39" s="1789"/>
      <c r="Q39" s="1789"/>
      <c r="R39" s="1789"/>
      <c r="S39" s="1789"/>
      <c r="T39" s="1793"/>
      <c r="U39" s="231"/>
      <c r="V39" s="183" t="s">
        <v>100</v>
      </c>
      <c r="W39" s="1802"/>
      <c r="X39" s="1802"/>
      <c r="Y39" s="1802"/>
      <c r="Z39" s="1789"/>
      <c r="AA39" s="1793"/>
      <c r="AB39" s="231"/>
      <c r="AC39" s="183" t="s">
        <v>100</v>
      </c>
      <c r="AD39" s="1789"/>
      <c r="AE39" s="1789"/>
      <c r="AF39" s="1789"/>
      <c r="AG39" s="1789"/>
      <c r="AH39" s="1793"/>
      <c r="AI39" s="231"/>
      <c r="AJ39" s="183" t="s">
        <v>100</v>
      </c>
      <c r="AK39" s="1789"/>
      <c r="AL39" s="1789"/>
      <c r="AM39" s="1789"/>
      <c r="AN39" s="1789"/>
      <c r="AO39" s="1793"/>
      <c r="AP39" s="216"/>
      <c r="AQ39" s="215"/>
      <c r="AR39" s="215"/>
      <c r="AS39" s="215"/>
      <c r="AT39" s="215"/>
      <c r="AU39" s="215"/>
      <c r="AV39" s="40"/>
      <c r="AW39" s="40"/>
      <c r="AX39" s="40"/>
      <c r="AY39" s="40"/>
      <c r="AZ39" s="40"/>
      <c r="BA39" s="40"/>
      <c r="BB39" s="186"/>
      <c r="BC39" s="40"/>
      <c r="BD39" s="217"/>
      <c r="BE39" s="40"/>
      <c r="BF39" s="40"/>
      <c r="BG39" s="40"/>
      <c r="BH39" s="40"/>
      <c r="BI39" s="40"/>
      <c r="BJ39" s="40"/>
      <c r="BK39" s="40"/>
    </row>
    <row r="40" spans="1:63" ht="24.75" customHeight="1" x14ac:dyDescent="0.25">
      <c r="A40" s="13"/>
      <c r="B40" s="40"/>
      <c r="C40" s="40"/>
      <c r="D40" s="40"/>
      <c r="E40" s="40"/>
      <c r="F40" s="40"/>
      <c r="G40" s="218"/>
      <c r="H40" s="1992" t="s">
        <v>119</v>
      </c>
      <c r="I40" s="1455" t="s">
        <v>63</v>
      </c>
      <c r="J40" s="1452" t="s">
        <v>106</v>
      </c>
      <c r="K40" s="1452" t="s">
        <v>106</v>
      </c>
      <c r="L40" s="1452" t="s">
        <v>69</v>
      </c>
      <c r="M40" s="138"/>
      <c r="N40" s="233"/>
      <c r="O40" s="1999" t="s">
        <v>398</v>
      </c>
      <c r="P40" s="1455" t="s">
        <v>63</v>
      </c>
      <c r="Q40" s="1453" t="s">
        <v>72</v>
      </c>
      <c r="R40" s="1453" t="s">
        <v>72</v>
      </c>
      <c r="S40" s="1455" t="s">
        <v>63</v>
      </c>
      <c r="T40" s="143"/>
      <c r="U40" s="139"/>
      <c r="V40" s="1997" t="s">
        <v>120</v>
      </c>
      <c r="W40" s="1452" t="s">
        <v>113</v>
      </c>
      <c r="X40" s="1455" t="s">
        <v>63</v>
      </c>
      <c r="Y40" s="1453" t="s">
        <v>107</v>
      </c>
      <c r="Z40" s="1453" t="s">
        <v>105</v>
      </c>
      <c r="AA40" s="234"/>
      <c r="AB40" s="142"/>
      <c r="AC40" s="1996" t="s">
        <v>121</v>
      </c>
      <c r="AD40" s="1455" t="s">
        <v>63</v>
      </c>
      <c r="AE40" s="1455" t="s">
        <v>63</v>
      </c>
      <c r="AF40" s="1455" t="s">
        <v>63</v>
      </c>
      <c r="AG40" s="1452" t="s">
        <v>113</v>
      </c>
      <c r="AH40" s="143"/>
      <c r="AI40" s="235"/>
      <c r="AJ40" s="2006" t="s">
        <v>122</v>
      </c>
      <c r="AK40" s="1452" t="s">
        <v>106</v>
      </c>
      <c r="AL40" s="1455" t="s">
        <v>63</v>
      </c>
      <c r="AM40" s="1455" t="s">
        <v>63</v>
      </c>
      <c r="AN40" s="1455" t="s">
        <v>63</v>
      </c>
      <c r="AO40" s="145"/>
      <c r="AP40" s="222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197"/>
      <c r="BC40" s="40"/>
      <c r="BD40" s="122"/>
      <c r="BE40" s="40"/>
      <c r="BF40" s="40"/>
      <c r="BG40" s="40"/>
      <c r="BH40" s="40"/>
      <c r="BI40" s="40"/>
      <c r="BJ40" s="40"/>
      <c r="BK40" s="40"/>
    </row>
    <row r="41" spans="1:63" ht="15" customHeight="1" x14ac:dyDescent="0.2">
      <c r="A41" s="13"/>
      <c r="B41" s="40"/>
      <c r="C41" s="40"/>
      <c r="D41" s="40"/>
      <c r="E41" s="40"/>
      <c r="F41" s="40"/>
      <c r="G41" s="209"/>
      <c r="H41" s="152" t="s">
        <v>73</v>
      </c>
      <c r="I41" s="153">
        <f>Aspects!H12</f>
        <v>105.09700000000004</v>
      </c>
      <c r="J41" s="153">
        <f>Aspects!H11</f>
        <v>83.344047118912997</v>
      </c>
      <c r="K41" s="153">
        <f>Aspects!H10</f>
        <v>86.218873659606999</v>
      </c>
      <c r="L41" s="153">
        <f>Aspects!H9</f>
        <v>162.36567350991899</v>
      </c>
      <c r="M41" s="154"/>
      <c r="N41" s="200"/>
      <c r="O41" s="152" t="s">
        <v>73</v>
      </c>
      <c r="P41" s="153">
        <f>Aspects!L22</f>
        <v>33.379999999999995</v>
      </c>
      <c r="Q41" s="153">
        <f>Aspects!L21</f>
        <v>30.675792892931014</v>
      </c>
      <c r="R41" s="153">
        <f>Aspects!L20</f>
        <v>28.340706319518006</v>
      </c>
      <c r="S41" s="153">
        <f>Aspects!L19</f>
        <v>52.985462139377006</v>
      </c>
      <c r="T41" s="154"/>
      <c r="U41" s="200"/>
      <c r="V41" s="152" t="s">
        <v>73</v>
      </c>
      <c r="W41" s="153">
        <f>Aspects!J27</f>
        <v>46.931000000000004</v>
      </c>
      <c r="X41" s="153">
        <f>Aspects!J26</f>
        <v>69.002495009051017</v>
      </c>
      <c r="Y41" s="153">
        <f>Aspects!J25</f>
        <v>64.910339522074992</v>
      </c>
      <c r="Z41" s="153">
        <f>Aspects!J24</f>
        <v>112.46790946015699</v>
      </c>
      <c r="AA41" s="154"/>
      <c r="AB41" s="200"/>
      <c r="AC41" s="152" t="s">
        <v>73</v>
      </c>
      <c r="AD41" s="153">
        <f>Aspects!K32</f>
        <v>37.219000000000001</v>
      </c>
      <c r="AE41" s="153">
        <f>Aspects!K31</f>
        <v>54.579330400998032</v>
      </c>
      <c r="AF41" s="153">
        <f>Aspects!K30</f>
        <v>50.778620963143027</v>
      </c>
      <c r="AG41" s="153">
        <f>Aspects!K29</f>
        <v>43.333284221464993</v>
      </c>
      <c r="AH41" s="154"/>
      <c r="AI41" s="200"/>
      <c r="AJ41" s="152" t="s">
        <v>73</v>
      </c>
      <c r="AK41" s="153">
        <f>Aspects!I17</f>
        <v>82.402999999999992</v>
      </c>
      <c r="AL41" s="153">
        <f>Aspects!I16</f>
        <v>105.63635401865002</v>
      </c>
      <c r="AM41" s="153">
        <f>Aspects!I15</f>
        <v>100.29727645481097</v>
      </c>
      <c r="AN41" s="153">
        <f>Aspects!I14</f>
        <v>75.787584617788013</v>
      </c>
      <c r="AO41" s="157"/>
      <c r="AP41" s="205"/>
      <c r="AQ41" s="40"/>
      <c r="AR41" s="40" t="s">
        <v>369</v>
      </c>
      <c r="AS41" s="40"/>
      <c r="AT41" s="40"/>
      <c r="AU41" s="40"/>
      <c r="AV41" s="40"/>
      <c r="AW41" s="40"/>
      <c r="AX41" s="40"/>
      <c r="AY41" s="40"/>
      <c r="AZ41" s="40"/>
      <c r="BA41" s="40"/>
      <c r="BB41" s="202"/>
      <c r="BC41" s="40"/>
      <c r="BD41" s="203"/>
      <c r="BE41" s="40"/>
      <c r="BF41" s="40"/>
      <c r="BG41" s="40"/>
      <c r="BH41" s="40"/>
      <c r="BI41" s="40"/>
      <c r="BJ41" s="40"/>
      <c r="BK41" s="40"/>
    </row>
    <row r="42" spans="1:63" ht="15" customHeight="1" x14ac:dyDescent="0.2">
      <c r="A42" s="13"/>
      <c r="B42" s="40"/>
      <c r="C42" s="40"/>
      <c r="D42" s="40"/>
      <c r="E42" s="40"/>
      <c r="F42" s="40"/>
      <c r="G42" s="209"/>
      <c r="H42" s="160" t="s">
        <v>75</v>
      </c>
      <c r="I42" s="161"/>
      <c r="J42" s="161">
        <f>90-J41</f>
        <v>6.6559528810870034</v>
      </c>
      <c r="K42" s="161">
        <f>90-K41</f>
        <v>3.7811263403930013</v>
      </c>
      <c r="L42" s="161">
        <f>180-L41</f>
        <v>17.634326490081008</v>
      </c>
      <c r="M42" s="162"/>
      <c r="N42" s="200"/>
      <c r="O42" s="160" t="s">
        <v>75</v>
      </c>
      <c r="P42" s="161"/>
      <c r="Q42" s="161">
        <f>Q41-30</f>
        <v>0.67579289293101397</v>
      </c>
      <c r="R42" s="161">
        <f>30-R41</f>
        <v>1.6592936804819942</v>
      </c>
      <c r="S42" s="161"/>
      <c r="T42" s="162"/>
      <c r="U42" s="200"/>
      <c r="V42" s="160" t="s">
        <v>75</v>
      </c>
      <c r="W42" s="161">
        <f>W41-45</f>
        <v>1.9310000000000045</v>
      </c>
      <c r="X42" s="161"/>
      <c r="Y42" s="161">
        <f>Y41-60</f>
        <v>4.9103395220749917</v>
      </c>
      <c r="Z42" s="161">
        <f>120-Z41</f>
        <v>7.5320905398430114</v>
      </c>
      <c r="AA42" s="162"/>
      <c r="AB42" s="200"/>
      <c r="AC42" s="160" t="s">
        <v>75</v>
      </c>
      <c r="AD42" s="161"/>
      <c r="AE42" s="161"/>
      <c r="AF42" s="161"/>
      <c r="AG42" s="161">
        <f>45-AG41</f>
        <v>1.6667157785350071</v>
      </c>
      <c r="AH42" s="162"/>
      <c r="AI42" s="200"/>
      <c r="AJ42" s="160" t="s">
        <v>75</v>
      </c>
      <c r="AK42" s="161">
        <f>90-AK41</f>
        <v>7.5970000000000084</v>
      </c>
      <c r="AL42" s="161"/>
      <c r="AM42" s="161"/>
      <c r="AN42" s="161"/>
      <c r="AO42" s="163"/>
      <c r="AP42" s="205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202"/>
      <c r="BC42" s="40"/>
      <c r="BD42" s="203"/>
      <c r="BE42" s="40"/>
      <c r="BF42" s="40"/>
      <c r="BG42" s="40"/>
      <c r="BH42" s="40"/>
      <c r="BI42" s="40" t="s">
        <v>366</v>
      </c>
      <c r="BJ42" s="40"/>
      <c r="BK42" s="40"/>
    </row>
    <row r="43" spans="1:63" ht="15" customHeight="1" x14ac:dyDescent="0.15">
      <c r="A43" s="13"/>
      <c r="B43" s="40"/>
      <c r="C43" s="40"/>
      <c r="D43" s="40"/>
      <c r="E43" s="40"/>
      <c r="F43" s="40"/>
      <c r="G43" s="209"/>
      <c r="H43" s="165" t="s">
        <v>76</v>
      </c>
      <c r="I43" s="166"/>
      <c r="J43" s="166"/>
      <c r="K43" s="166"/>
      <c r="L43" s="166"/>
      <c r="M43" s="167"/>
      <c r="N43" s="168"/>
      <c r="O43" s="165" t="s">
        <v>76</v>
      </c>
      <c r="P43" s="166"/>
      <c r="Q43" s="166"/>
      <c r="R43" s="166"/>
      <c r="S43" s="166"/>
      <c r="T43" s="167"/>
      <c r="U43" s="169"/>
      <c r="V43" s="165" t="s">
        <v>76</v>
      </c>
      <c r="W43" s="166"/>
      <c r="X43" s="166"/>
      <c r="Y43" s="166"/>
      <c r="Z43" s="166"/>
      <c r="AA43" s="167"/>
      <c r="AB43" s="169"/>
      <c r="AC43" s="165" t="s">
        <v>76</v>
      </c>
      <c r="AD43" s="166"/>
      <c r="AE43" s="166"/>
      <c r="AF43" s="166"/>
      <c r="AG43" s="166"/>
      <c r="AH43" s="167"/>
      <c r="AI43" s="169"/>
      <c r="AJ43" s="165" t="s">
        <v>76</v>
      </c>
      <c r="AK43" s="166"/>
      <c r="AL43" s="166"/>
      <c r="AM43" s="166"/>
      <c r="AN43" s="166"/>
      <c r="AO43" s="170"/>
      <c r="AP43" s="205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206"/>
      <c r="BC43" s="40"/>
      <c r="BD43" s="207"/>
      <c r="BE43" s="40"/>
      <c r="BF43" s="40"/>
      <c r="BG43" s="40"/>
      <c r="BH43" s="40"/>
      <c r="BI43" s="40"/>
      <c r="BJ43" s="40"/>
      <c r="BK43" s="40"/>
    </row>
    <row r="44" spans="1:63" ht="15" customHeight="1" x14ac:dyDescent="0.15">
      <c r="A44" s="13"/>
      <c r="B44" s="40"/>
      <c r="C44" s="40"/>
      <c r="D44" s="40"/>
      <c r="E44" s="40"/>
      <c r="F44" s="40"/>
      <c r="G44" s="209"/>
      <c r="H44" s="173" t="s">
        <v>80</v>
      </c>
      <c r="I44" s="1788"/>
      <c r="J44" s="1788"/>
      <c r="K44" s="1788"/>
      <c r="L44" s="1788"/>
      <c r="M44" s="1791"/>
      <c r="N44" s="230"/>
      <c r="O44" s="173" t="s">
        <v>80</v>
      </c>
      <c r="P44" s="1788"/>
      <c r="Q44" s="1799"/>
      <c r="R44" s="1799"/>
      <c r="S44" s="1799"/>
      <c r="T44" s="1795"/>
      <c r="U44" s="230"/>
      <c r="V44" s="173" t="s">
        <v>80</v>
      </c>
      <c r="W44" s="1788"/>
      <c r="X44" s="1788"/>
      <c r="Y44" s="1788"/>
      <c r="Z44" s="1788"/>
      <c r="AA44" s="1803"/>
      <c r="AB44" s="230"/>
      <c r="AC44" s="173" t="s">
        <v>80</v>
      </c>
      <c r="AD44" s="1788"/>
      <c r="AE44" s="1788"/>
      <c r="AF44" s="1788"/>
      <c r="AG44" s="1788"/>
      <c r="AH44" s="1804"/>
      <c r="AI44" s="230"/>
      <c r="AJ44" s="173" t="s">
        <v>80</v>
      </c>
      <c r="AK44" s="1799"/>
      <c r="AL44" s="1799"/>
      <c r="AM44" s="1799"/>
      <c r="AN44" s="1799"/>
      <c r="AO44" s="1809"/>
      <c r="AP44" s="211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212"/>
      <c r="BC44" s="40"/>
      <c r="BD44" s="213"/>
      <c r="BE44" s="40"/>
      <c r="BF44" s="40"/>
      <c r="BG44" s="40"/>
      <c r="BH44" s="40"/>
      <c r="BI44" s="40"/>
      <c r="BJ44" s="40"/>
      <c r="BK44" s="40"/>
    </row>
    <row r="45" spans="1:63" ht="15" customHeight="1" x14ac:dyDescent="0.15">
      <c r="A45" s="13"/>
      <c r="B45" s="40"/>
      <c r="C45" s="40"/>
      <c r="D45" s="40"/>
      <c r="E45" s="40"/>
      <c r="F45" s="40"/>
      <c r="G45" s="209"/>
      <c r="H45" s="173" t="s">
        <v>85</v>
      </c>
      <c r="I45" s="1788"/>
      <c r="J45" s="1788"/>
      <c r="K45" s="1788"/>
      <c r="L45" s="1788"/>
      <c r="M45" s="1791"/>
      <c r="N45" s="230"/>
      <c r="O45" s="173" t="s">
        <v>85</v>
      </c>
      <c r="P45" s="1788"/>
      <c r="Q45" s="1799"/>
      <c r="R45" s="1799"/>
      <c r="S45" s="1799"/>
      <c r="T45" s="1795"/>
      <c r="U45" s="230"/>
      <c r="V45" s="173" t="s">
        <v>85</v>
      </c>
      <c r="W45" s="1788"/>
      <c r="X45" s="1788"/>
      <c r="Y45" s="1788"/>
      <c r="Z45" s="1788"/>
      <c r="AA45" s="1803"/>
      <c r="AB45" s="230"/>
      <c r="AC45" s="173" t="s">
        <v>85</v>
      </c>
      <c r="AD45" s="1788"/>
      <c r="AE45" s="1788"/>
      <c r="AF45" s="1788"/>
      <c r="AG45" s="1788"/>
      <c r="AH45" s="1804"/>
      <c r="AI45" s="230"/>
      <c r="AJ45" s="173" t="s">
        <v>85</v>
      </c>
      <c r="AK45" s="1799"/>
      <c r="AL45" s="1799"/>
      <c r="AM45" s="1799"/>
      <c r="AN45" s="1799"/>
      <c r="AO45" s="1795"/>
      <c r="AP45" s="211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213"/>
      <c r="BE45" s="40"/>
      <c r="BF45" s="40"/>
      <c r="BG45" s="40"/>
      <c r="BH45" s="40"/>
      <c r="BI45" s="40"/>
      <c r="BJ45" s="40"/>
      <c r="BK45" s="40"/>
    </row>
    <row r="46" spans="1:63" ht="15" customHeight="1" x14ac:dyDescent="0.15">
      <c r="A46" s="13"/>
      <c r="B46" s="40"/>
      <c r="C46" s="40"/>
      <c r="D46" s="40"/>
      <c r="E46" s="40"/>
      <c r="F46" s="40"/>
      <c r="G46" s="209"/>
      <c r="H46" s="173" t="s">
        <v>90</v>
      </c>
      <c r="I46" s="1788"/>
      <c r="J46" s="1788"/>
      <c r="K46" s="1788"/>
      <c r="L46" s="1788"/>
      <c r="M46" s="1791"/>
      <c r="N46" s="230"/>
      <c r="O46" s="173" t="s">
        <v>90</v>
      </c>
      <c r="P46" s="1788"/>
      <c r="Q46" s="1799"/>
      <c r="R46" s="1799"/>
      <c r="S46" s="1799"/>
      <c r="T46" s="1795"/>
      <c r="U46" s="230"/>
      <c r="V46" s="173" t="s">
        <v>90</v>
      </c>
      <c r="W46" s="1788"/>
      <c r="X46" s="1788"/>
      <c r="Y46" s="1788"/>
      <c r="Z46" s="1788"/>
      <c r="AA46" s="1803"/>
      <c r="AB46" s="230"/>
      <c r="AC46" s="173" t="s">
        <v>90</v>
      </c>
      <c r="AD46" s="1788"/>
      <c r="AE46" s="1788"/>
      <c r="AF46" s="1788"/>
      <c r="AG46" s="1788"/>
      <c r="AH46" s="1804"/>
      <c r="AI46" s="230"/>
      <c r="AJ46" s="173" t="s">
        <v>90</v>
      </c>
      <c r="AK46" s="1799"/>
      <c r="AL46" s="1799"/>
      <c r="AM46" s="1799"/>
      <c r="AN46" s="1799"/>
      <c r="AO46" s="1795"/>
      <c r="AP46" s="211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213"/>
      <c r="BE46" s="40"/>
      <c r="BF46" s="40"/>
      <c r="BG46" s="40"/>
      <c r="BH46" s="40"/>
      <c r="BI46" s="40"/>
      <c r="BJ46" s="40"/>
      <c r="BK46" s="40"/>
    </row>
    <row r="47" spans="1:63" ht="15" customHeight="1" x14ac:dyDescent="0.15">
      <c r="A47" s="13"/>
      <c r="B47" s="40"/>
      <c r="C47" s="40"/>
      <c r="D47" s="40"/>
      <c r="E47" s="40"/>
      <c r="F47" s="40"/>
      <c r="G47" s="209"/>
      <c r="H47" s="173" t="s">
        <v>95</v>
      </c>
      <c r="I47" s="1788"/>
      <c r="J47" s="1788"/>
      <c r="K47" s="1788"/>
      <c r="L47" s="1788"/>
      <c r="M47" s="1791"/>
      <c r="N47" s="230"/>
      <c r="O47" s="173" t="s">
        <v>95</v>
      </c>
      <c r="P47" s="1788"/>
      <c r="Q47" s="1799"/>
      <c r="R47" s="1799"/>
      <c r="S47" s="1799"/>
      <c r="T47" s="1795"/>
      <c r="U47" s="230"/>
      <c r="V47" s="173" t="s">
        <v>95</v>
      </c>
      <c r="W47" s="1788"/>
      <c r="X47" s="1788"/>
      <c r="Y47" s="1788"/>
      <c r="Z47" s="1788"/>
      <c r="AA47" s="1803"/>
      <c r="AB47" s="230"/>
      <c r="AC47" s="173" t="s">
        <v>95</v>
      </c>
      <c r="AD47" s="1788"/>
      <c r="AE47" s="1788"/>
      <c r="AF47" s="1788"/>
      <c r="AG47" s="1788"/>
      <c r="AH47" s="1804"/>
      <c r="AI47" s="230"/>
      <c r="AJ47" s="173" t="s">
        <v>95</v>
      </c>
      <c r="AK47" s="1799"/>
      <c r="AL47" s="1799"/>
      <c r="AM47" s="1799"/>
      <c r="AN47" s="1799"/>
      <c r="AO47" s="1795"/>
      <c r="AP47" s="211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213"/>
      <c r="BE47" s="40"/>
      <c r="BF47" s="40"/>
      <c r="BG47" s="40"/>
      <c r="BH47" s="40"/>
      <c r="BI47" s="40"/>
      <c r="BJ47" s="40"/>
      <c r="BK47" s="40"/>
    </row>
    <row r="48" spans="1:63" ht="15" customHeight="1" x14ac:dyDescent="0.15">
      <c r="A48" s="13"/>
      <c r="C48" s="40"/>
      <c r="D48" s="40"/>
      <c r="E48" s="40"/>
      <c r="F48" s="40"/>
      <c r="G48" s="209"/>
      <c r="H48" s="183" t="s">
        <v>100</v>
      </c>
      <c r="I48" s="1789"/>
      <c r="J48" s="1789"/>
      <c r="K48" s="1789"/>
      <c r="L48" s="1789"/>
      <c r="M48" s="1793"/>
      <c r="N48" s="231"/>
      <c r="O48" s="183" t="s">
        <v>100</v>
      </c>
      <c r="P48" s="1789"/>
      <c r="Q48" s="1789"/>
      <c r="R48" s="1789"/>
      <c r="S48" s="1789"/>
      <c r="T48" s="1793"/>
      <c r="U48" s="231"/>
      <c r="V48" s="183" t="s">
        <v>100</v>
      </c>
      <c r="W48" s="1789"/>
      <c r="X48" s="1789"/>
      <c r="Y48" s="1789"/>
      <c r="Z48" s="1789"/>
      <c r="AA48" s="1793"/>
      <c r="AB48" s="231"/>
      <c r="AC48" s="183" t="s">
        <v>100</v>
      </c>
      <c r="AD48" s="1789"/>
      <c r="AE48" s="1789"/>
      <c r="AF48" s="1789"/>
      <c r="AG48" s="1789"/>
      <c r="AH48" s="1805"/>
      <c r="AI48" s="231"/>
      <c r="AJ48" s="183" t="s">
        <v>100</v>
      </c>
      <c r="AK48" s="1802"/>
      <c r="AL48" s="1789"/>
      <c r="AM48" s="1789"/>
      <c r="AN48" s="1789"/>
      <c r="AO48" s="1793"/>
      <c r="AP48" s="216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186"/>
      <c r="BC48" s="40"/>
      <c r="BD48" s="217"/>
      <c r="BE48" s="40"/>
      <c r="BF48" s="40"/>
      <c r="BG48" s="40"/>
      <c r="BH48" s="40"/>
      <c r="BI48" s="40"/>
      <c r="BJ48" s="40"/>
      <c r="BK48" s="40"/>
    </row>
    <row r="49" spans="1:63" ht="24.75" customHeight="1" x14ac:dyDescent="0.25">
      <c r="A49" s="13"/>
      <c r="B49" s="123" t="s">
        <v>53</v>
      </c>
      <c r="C49" s="124" t="s">
        <v>44</v>
      </c>
      <c r="D49" s="124" t="s">
        <v>42</v>
      </c>
      <c r="E49" s="124" t="s">
        <v>40</v>
      </c>
      <c r="F49" s="124" t="s">
        <v>38</v>
      </c>
      <c r="G49" s="218"/>
      <c r="H49" s="1993" t="s">
        <v>123</v>
      </c>
      <c r="I49" s="1455" t="s">
        <v>63</v>
      </c>
      <c r="J49" s="1455" t="s">
        <v>63</v>
      </c>
      <c r="K49" s="1455" t="s">
        <v>63</v>
      </c>
      <c r="L49" s="1455" t="s">
        <v>63</v>
      </c>
      <c r="M49" s="191"/>
      <c r="N49" s="139"/>
      <c r="O49" s="1998" t="s">
        <v>124</v>
      </c>
      <c r="P49" s="1452" t="s">
        <v>106</v>
      </c>
      <c r="Q49" s="1455" t="s">
        <v>63</v>
      </c>
      <c r="R49" s="1452" t="s">
        <v>106</v>
      </c>
      <c r="S49" s="1455" t="s">
        <v>63</v>
      </c>
      <c r="T49" s="143"/>
      <c r="U49" s="221"/>
      <c r="V49" s="2001" t="s">
        <v>125</v>
      </c>
      <c r="W49" s="1453" t="s">
        <v>107</v>
      </c>
      <c r="X49" s="1452" t="s">
        <v>106</v>
      </c>
      <c r="Y49" s="1455" t="s">
        <v>63</v>
      </c>
      <c r="Z49" s="1452" t="s">
        <v>106</v>
      </c>
      <c r="AA49" s="234"/>
      <c r="AB49" s="233"/>
      <c r="AC49" s="2003" t="s">
        <v>399</v>
      </c>
      <c r="AD49" s="1452" t="s">
        <v>106</v>
      </c>
      <c r="AE49" s="1453" t="s">
        <v>105</v>
      </c>
      <c r="AF49" s="1453" t="s">
        <v>105</v>
      </c>
      <c r="AG49" s="1455" t="s">
        <v>63</v>
      </c>
      <c r="AH49" s="194"/>
      <c r="AI49" s="220"/>
      <c r="AJ49" s="2004" t="s">
        <v>126</v>
      </c>
      <c r="AK49" s="1453" t="s">
        <v>107</v>
      </c>
      <c r="AL49" s="1452" t="s">
        <v>106</v>
      </c>
      <c r="AM49" s="1452" t="s">
        <v>106</v>
      </c>
      <c r="AN49" s="1452" t="s">
        <v>106</v>
      </c>
      <c r="AO49" s="145"/>
      <c r="AP49" s="222"/>
      <c r="AQ49" s="123" t="s">
        <v>53</v>
      </c>
      <c r="AR49" s="124" t="s">
        <v>44</v>
      </c>
      <c r="AS49" s="124" t="s">
        <v>42</v>
      </c>
      <c r="AT49" s="124" t="s">
        <v>40</v>
      </c>
      <c r="AU49" s="124" t="s">
        <v>38</v>
      </c>
      <c r="AV49" s="40"/>
      <c r="AW49" s="40"/>
      <c r="AX49" s="40"/>
      <c r="AY49" s="40"/>
      <c r="AZ49" s="40"/>
      <c r="BA49" s="40"/>
      <c r="BB49" s="197"/>
      <c r="BC49" s="40"/>
      <c r="BD49" s="122"/>
      <c r="BE49" s="40"/>
      <c r="BF49" s="40"/>
      <c r="BG49" s="40"/>
      <c r="BH49" s="40"/>
      <c r="BI49" s="40"/>
      <c r="BJ49" s="40"/>
      <c r="BK49" s="40"/>
    </row>
    <row r="50" spans="1:63" ht="15" customHeight="1" x14ac:dyDescent="0.2">
      <c r="A50" s="13"/>
      <c r="B50" s="2097" t="s">
        <v>10</v>
      </c>
      <c r="C50" s="2101"/>
      <c r="D50" s="2101"/>
      <c r="E50" s="2101"/>
      <c r="F50" s="2101"/>
      <c r="G50" s="137"/>
      <c r="H50" s="152" t="s">
        <v>73</v>
      </c>
      <c r="I50" s="153">
        <f>Aspects!I12</f>
        <v>160.86999999999998</v>
      </c>
      <c r="J50" s="153">
        <f>Aspects!I11</f>
        <v>157.61588900193101</v>
      </c>
      <c r="K50" s="153">
        <f>Aspects!I10</f>
        <v>159.23842781658703</v>
      </c>
      <c r="L50" s="153">
        <f>Aspects!I9</f>
        <v>74.696696025872996</v>
      </c>
      <c r="M50" s="154"/>
      <c r="N50" s="236"/>
      <c r="O50" s="152" t="s">
        <v>73</v>
      </c>
      <c r="P50" s="153">
        <f>Aspects!I27</f>
        <v>81.818000000000012</v>
      </c>
      <c r="Q50" s="153">
        <f>Aspects!I26</f>
        <v>105.00894411091701</v>
      </c>
      <c r="R50" s="153">
        <f>Aspects!I25</f>
        <v>99.720036673256971</v>
      </c>
      <c r="S50" s="153">
        <f>Aspects!I24</f>
        <v>74.552650985400021</v>
      </c>
      <c r="T50" s="237"/>
      <c r="U50" s="238"/>
      <c r="V50" s="152" t="s">
        <v>73</v>
      </c>
      <c r="W50" s="153">
        <f>Aspects!J37</f>
        <v>59.146000000000001</v>
      </c>
      <c r="X50" s="153">
        <f>Aspects!J36</f>
        <v>83.033614777290012</v>
      </c>
      <c r="Y50" s="153">
        <f>Aspects!J35</f>
        <v>79.733001372623988</v>
      </c>
      <c r="Z50" s="153">
        <f>Aspects!J34</f>
        <v>85.022371989451017</v>
      </c>
      <c r="AA50" s="237"/>
      <c r="AB50" s="238"/>
      <c r="AC50" s="152" t="s">
        <v>73</v>
      </c>
      <c r="AD50" s="153">
        <f>Aspects!I22</f>
        <v>96.216999999999999</v>
      </c>
      <c r="AE50" s="153">
        <f>Aspects!I21</f>
        <v>121.28806015117001</v>
      </c>
      <c r="AF50" s="153">
        <f>Aspects!I20</f>
        <v>117.06895512322697</v>
      </c>
      <c r="AG50" s="153">
        <f>Aspects!I19</f>
        <v>147.06573021057798</v>
      </c>
      <c r="AH50" s="237"/>
      <c r="AI50" s="238"/>
      <c r="AJ50" s="152" t="s">
        <v>73</v>
      </c>
      <c r="AK50" s="153">
        <f>Aspects!L42</f>
        <v>62.837000000000003</v>
      </c>
      <c r="AL50" s="153">
        <f>Aspects!L41</f>
        <v>90.612267258239001</v>
      </c>
      <c r="AM50" s="153">
        <f>Aspects!L40</f>
        <v>88.728248803708965</v>
      </c>
      <c r="AN50" s="153">
        <f>Aspects!L39</f>
        <v>94.080268071200976</v>
      </c>
      <c r="AO50" s="239"/>
      <c r="AP50" s="222"/>
      <c r="AQ50" s="2097" t="s">
        <v>10</v>
      </c>
      <c r="AR50" s="2101"/>
      <c r="AS50" s="2101"/>
      <c r="AT50" s="2101"/>
      <c r="AU50" s="2101"/>
      <c r="AV50" s="40"/>
      <c r="AW50" s="40"/>
      <c r="AX50" s="40"/>
      <c r="AY50" s="40"/>
      <c r="AZ50" s="40"/>
      <c r="BA50" s="40"/>
      <c r="BB50" s="202"/>
      <c r="BC50" s="40"/>
      <c r="BD50" s="240"/>
      <c r="BE50" s="40"/>
      <c r="BF50" s="40"/>
      <c r="BG50" s="40"/>
      <c r="BH50" s="40"/>
      <c r="BI50" s="40"/>
      <c r="BJ50" s="40"/>
      <c r="BK50" s="40"/>
    </row>
    <row r="51" spans="1:63" ht="15" customHeight="1" x14ac:dyDescent="0.2">
      <c r="A51" s="13"/>
      <c r="B51" s="620" t="s">
        <v>18</v>
      </c>
      <c r="C51" s="621"/>
      <c r="D51" s="621"/>
      <c r="E51" s="621"/>
      <c r="F51" s="621"/>
      <c r="G51" s="137"/>
      <c r="H51" s="160" t="s">
        <v>75</v>
      </c>
      <c r="I51" s="161"/>
      <c r="J51" s="161"/>
      <c r="K51" s="161"/>
      <c r="L51" s="161"/>
      <c r="M51" s="162"/>
      <c r="N51" s="236"/>
      <c r="O51" s="160" t="s">
        <v>75</v>
      </c>
      <c r="P51" s="161">
        <f>90-P50</f>
        <v>8.1819999999999879</v>
      </c>
      <c r="Q51" s="161"/>
      <c r="R51" s="161">
        <f>R50-90</f>
        <v>9.7200366732569705</v>
      </c>
      <c r="S51" s="161"/>
      <c r="T51" s="241"/>
      <c r="U51" s="238"/>
      <c r="V51" s="160" t="s">
        <v>75</v>
      </c>
      <c r="W51" s="161">
        <f>60-W50</f>
        <v>0.8539999999999992</v>
      </c>
      <c r="X51" s="161">
        <f>90-X50</f>
        <v>6.9663852227099881</v>
      </c>
      <c r="Y51" s="161"/>
      <c r="Z51" s="161">
        <f>90-Z50</f>
        <v>4.9776280105489832</v>
      </c>
      <c r="AA51" s="241"/>
      <c r="AB51" s="238"/>
      <c r="AC51" s="160" t="s">
        <v>75</v>
      </c>
      <c r="AD51" s="161">
        <f>AD50-90</f>
        <v>6.2169999999999987</v>
      </c>
      <c r="AE51" s="161">
        <f>AE50-120</f>
        <v>1.2880601511700149</v>
      </c>
      <c r="AF51" s="161">
        <f>120-AF50</f>
        <v>2.9310448767730293</v>
      </c>
      <c r="AG51" s="161"/>
      <c r="AH51" s="241"/>
      <c r="AI51" s="238"/>
      <c r="AJ51" s="160" t="s">
        <v>75</v>
      </c>
      <c r="AK51" s="161">
        <f>AK50-60</f>
        <v>2.8370000000000033</v>
      </c>
      <c r="AL51" s="161">
        <f>AL50-90</f>
        <v>0.61226725823900097</v>
      </c>
      <c r="AM51" s="161">
        <f>90-AM50</f>
        <v>1.2717511962910351</v>
      </c>
      <c r="AN51" s="161">
        <f>AN50-90</f>
        <v>4.080268071200976</v>
      </c>
      <c r="AO51" s="242"/>
      <c r="AP51" s="222"/>
      <c r="AQ51" s="620" t="s">
        <v>18</v>
      </c>
      <c r="AR51" s="621"/>
      <c r="AS51" s="621"/>
      <c r="AT51" s="621"/>
      <c r="AU51" s="621"/>
      <c r="AV51" s="40"/>
      <c r="AW51" s="40"/>
      <c r="AX51" s="40"/>
      <c r="AY51" s="40"/>
      <c r="AZ51" s="40"/>
      <c r="BA51" s="40"/>
      <c r="BB51" s="202"/>
      <c r="BC51" s="40"/>
      <c r="BD51" s="240"/>
      <c r="BE51" s="40"/>
      <c r="BF51" s="40"/>
      <c r="BG51" s="40"/>
      <c r="BH51" s="40"/>
      <c r="BI51" s="40"/>
      <c r="BJ51" s="40"/>
      <c r="BK51" s="40"/>
    </row>
    <row r="52" spans="1:63" ht="15" customHeight="1" x14ac:dyDescent="0.15">
      <c r="A52" s="13"/>
      <c r="B52" s="672" t="s">
        <v>16</v>
      </c>
      <c r="C52" s="673"/>
      <c r="D52" s="673"/>
      <c r="E52" s="673"/>
      <c r="F52" s="673"/>
      <c r="G52" s="209"/>
      <c r="H52" s="165" t="s">
        <v>76</v>
      </c>
      <c r="I52" s="166"/>
      <c r="J52" s="166"/>
      <c r="K52" s="166"/>
      <c r="L52" s="166"/>
      <c r="M52" s="167"/>
      <c r="N52" s="168"/>
      <c r="O52" s="165" t="s">
        <v>76</v>
      </c>
      <c r="P52" s="166"/>
      <c r="Q52" s="166"/>
      <c r="R52" s="166"/>
      <c r="S52" s="166"/>
      <c r="T52" s="167"/>
      <c r="U52" s="169"/>
      <c r="V52" s="165" t="s">
        <v>76</v>
      </c>
      <c r="W52" s="166"/>
      <c r="X52" s="166"/>
      <c r="Y52" s="166"/>
      <c r="Z52" s="166"/>
      <c r="AA52" s="167"/>
      <c r="AB52" s="169"/>
      <c r="AC52" s="165" t="s">
        <v>76</v>
      </c>
      <c r="AD52" s="166"/>
      <c r="AE52" s="166"/>
      <c r="AF52" s="166"/>
      <c r="AG52" s="166"/>
      <c r="AH52" s="167"/>
      <c r="AI52" s="169"/>
      <c r="AJ52" s="165" t="s">
        <v>76</v>
      </c>
      <c r="AK52" s="166"/>
      <c r="AL52" s="166"/>
      <c r="AM52" s="166"/>
      <c r="AN52" s="166"/>
      <c r="AO52" s="170"/>
      <c r="AP52" s="205"/>
      <c r="AQ52" s="672" t="s">
        <v>16</v>
      </c>
      <c r="AR52" s="673"/>
      <c r="AS52" s="673"/>
      <c r="AT52" s="673"/>
      <c r="AU52" s="673"/>
      <c r="AV52" s="40"/>
      <c r="AW52" s="40"/>
      <c r="AX52" s="40"/>
      <c r="AY52" s="40"/>
      <c r="AZ52" s="40"/>
      <c r="BA52" s="40"/>
      <c r="BB52" s="243"/>
      <c r="BC52" s="40"/>
      <c r="BD52" s="207"/>
      <c r="BE52" s="40"/>
      <c r="BF52" s="40"/>
      <c r="BG52" s="40"/>
      <c r="BH52" s="40"/>
      <c r="BI52" s="40"/>
      <c r="BJ52" s="40"/>
      <c r="BK52" s="40"/>
    </row>
    <row r="53" spans="1:63" ht="15" customHeight="1" x14ac:dyDescent="0.15">
      <c r="A53" s="13"/>
      <c r="B53" s="659" t="s">
        <v>11</v>
      </c>
      <c r="C53" s="660"/>
      <c r="D53" s="660"/>
      <c r="E53" s="660"/>
      <c r="F53" s="660"/>
      <c r="G53" s="209"/>
      <c r="H53" s="173" t="s">
        <v>80</v>
      </c>
      <c r="I53" s="1788"/>
      <c r="J53" s="1788"/>
      <c r="K53" s="1788"/>
      <c r="L53" s="1788"/>
      <c r="M53" s="1797"/>
      <c r="N53" s="230"/>
      <c r="O53" s="173" t="s">
        <v>80</v>
      </c>
      <c r="P53" s="1788"/>
      <c r="Q53" s="1788"/>
      <c r="R53" s="1788"/>
      <c r="S53" s="1788"/>
      <c r="T53" s="1803"/>
      <c r="U53" s="230"/>
      <c r="V53" s="173" t="s">
        <v>80</v>
      </c>
      <c r="W53" s="1788"/>
      <c r="X53" s="1788"/>
      <c r="Y53" s="1788"/>
      <c r="Z53" s="1788"/>
      <c r="AA53" s="1803"/>
      <c r="AB53" s="230"/>
      <c r="AC53" s="173" t="s">
        <v>80</v>
      </c>
      <c r="AD53" s="1799"/>
      <c r="AE53" s="1799"/>
      <c r="AF53" s="1799"/>
      <c r="AG53" s="1799"/>
      <c r="AH53" s="1795"/>
      <c r="AI53" s="230"/>
      <c r="AJ53" s="173" t="s">
        <v>80</v>
      </c>
      <c r="AK53" s="1788"/>
      <c r="AL53" s="1788"/>
      <c r="AM53" s="1788"/>
      <c r="AN53" s="1788"/>
      <c r="AO53" s="1806"/>
      <c r="AP53" s="211"/>
      <c r="AQ53" s="659" t="s">
        <v>11</v>
      </c>
      <c r="AR53" s="660"/>
      <c r="AS53" s="660"/>
      <c r="AT53" s="660"/>
      <c r="AU53" s="660"/>
      <c r="AV53" s="40"/>
      <c r="AW53" s="40"/>
      <c r="AX53" s="40"/>
      <c r="AY53" s="40"/>
      <c r="AZ53" s="40"/>
      <c r="BA53" s="40"/>
      <c r="BB53" s="212"/>
      <c r="BC53" s="40"/>
      <c r="BD53" s="213"/>
      <c r="BE53" s="40"/>
      <c r="BF53" s="40"/>
      <c r="BG53" s="40"/>
      <c r="BH53" s="40"/>
      <c r="BI53" s="40"/>
      <c r="BJ53" s="40"/>
      <c r="BK53" s="40"/>
    </row>
    <row r="54" spans="1:63" ht="15" customHeight="1" x14ac:dyDescent="0.15">
      <c r="A54" s="13"/>
      <c r="B54" s="2100" t="s">
        <v>179</v>
      </c>
      <c r="C54" s="2104"/>
      <c r="D54" s="2104"/>
      <c r="E54" s="2104"/>
      <c r="F54" s="2104"/>
      <c r="G54" s="209"/>
      <c r="H54" s="173" t="s">
        <v>85</v>
      </c>
      <c r="I54" s="1788"/>
      <c r="J54" s="1788"/>
      <c r="K54" s="1788"/>
      <c r="L54" s="1788"/>
      <c r="M54" s="1797"/>
      <c r="N54" s="230"/>
      <c r="O54" s="173" t="s">
        <v>85</v>
      </c>
      <c r="P54" s="1788"/>
      <c r="Q54" s="1788"/>
      <c r="R54" s="1788"/>
      <c r="S54" s="1788"/>
      <c r="T54" s="1803"/>
      <c r="U54" s="230"/>
      <c r="V54" s="173" t="s">
        <v>85</v>
      </c>
      <c r="W54" s="1788"/>
      <c r="X54" s="1788"/>
      <c r="Y54" s="1788"/>
      <c r="Z54" s="1788"/>
      <c r="AA54" s="1803"/>
      <c r="AB54" s="230"/>
      <c r="AC54" s="173" t="s">
        <v>85</v>
      </c>
      <c r="AD54" s="1799"/>
      <c r="AE54" s="1799"/>
      <c r="AF54" s="1799"/>
      <c r="AG54" s="1799"/>
      <c r="AH54" s="1795"/>
      <c r="AI54" s="230"/>
      <c r="AJ54" s="173" t="s">
        <v>85</v>
      </c>
      <c r="AK54" s="1788"/>
      <c r="AL54" s="1788"/>
      <c r="AM54" s="1788"/>
      <c r="AN54" s="1788"/>
      <c r="AO54" s="1806"/>
      <c r="AP54" s="211"/>
      <c r="AQ54" s="2100" t="s">
        <v>179</v>
      </c>
      <c r="AR54" s="2104"/>
      <c r="AS54" s="2104"/>
      <c r="AT54" s="2104"/>
      <c r="AU54" s="2104"/>
      <c r="AV54" s="40"/>
      <c r="AW54" s="40"/>
      <c r="AX54" s="40"/>
      <c r="AY54" s="40"/>
      <c r="AZ54" s="40"/>
      <c r="BA54" s="40"/>
      <c r="BB54" s="40"/>
      <c r="BC54" s="40"/>
      <c r="BD54" s="213"/>
      <c r="BE54" s="40"/>
      <c r="BF54" s="40"/>
      <c r="BG54" s="40"/>
      <c r="BH54" s="40"/>
      <c r="BI54" s="40"/>
      <c r="BJ54" s="40"/>
      <c r="BK54" s="40"/>
    </row>
    <row r="55" spans="1:63" ht="15" customHeight="1" x14ac:dyDescent="0.15">
      <c r="A55" s="13"/>
      <c r="B55" s="593" t="s">
        <v>15</v>
      </c>
      <c r="C55" s="594"/>
      <c r="D55" s="594"/>
      <c r="E55" s="594"/>
      <c r="F55" s="594"/>
      <c r="G55" s="209"/>
      <c r="H55" s="173" t="s">
        <v>90</v>
      </c>
      <c r="I55" s="1788"/>
      <c r="J55" s="1788"/>
      <c r="K55" s="1788"/>
      <c r="L55" s="1788"/>
      <c r="M55" s="1797"/>
      <c r="N55" s="230"/>
      <c r="O55" s="173" t="s">
        <v>90</v>
      </c>
      <c r="P55" s="1788"/>
      <c r="Q55" s="1788"/>
      <c r="R55" s="1788"/>
      <c r="S55" s="1788"/>
      <c r="T55" s="1803"/>
      <c r="U55" s="230"/>
      <c r="V55" s="173" t="s">
        <v>90</v>
      </c>
      <c r="W55" s="1788"/>
      <c r="X55" s="1788"/>
      <c r="Y55" s="1788"/>
      <c r="Z55" s="1788"/>
      <c r="AA55" s="1803"/>
      <c r="AB55" s="230"/>
      <c r="AC55" s="173" t="s">
        <v>90</v>
      </c>
      <c r="AD55" s="1799"/>
      <c r="AE55" s="1799"/>
      <c r="AF55" s="1799"/>
      <c r="AG55" s="1799"/>
      <c r="AH55" s="1795"/>
      <c r="AI55" s="230"/>
      <c r="AJ55" s="173" t="s">
        <v>90</v>
      </c>
      <c r="AK55" s="1788"/>
      <c r="AL55" s="1788"/>
      <c r="AM55" s="1788"/>
      <c r="AN55" s="1788"/>
      <c r="AO55" s="1806"/>
      <c r="AP55" s="211"/>
      <c r="AQ55" s="593" t="s">
        <v>15</v>
      </c>
      <c r="AR55" s="594"/>
      <c r="AS55" s="594"/>
      <c r="AT55" s="594"/>
      <c r="AU55" s="594"/>
      <c r="AV55" s="40"/>
      <c r="AW55" s="40"/>
      <c r="AX55" s="40"/>
      <c r="AY55" s="40"/>
      <c r="AZ55" s="40"/>
      <c r="BA55" s="40"/>
      <c r="BB55" s="40"/>
      <c r="BC55" s="40"/>
      <c r="BD55" s="213"/>
      <c r="BE55" s="40"/>
      <c r="BF55" s="40"/>
      <c r="BG55" s="40"/>
      <c r="BH55" s="40"/>
      <c r="BI55" s="40"/>
      <c r="BJ55" s="40"/>
      <c r="BK55" s="40"/>
    </row>
    <row r="56" spans="1:63" ht="15" customHeight="1" x14ac:dyDescent="0.15">
      <c r="A56" s="13"/>
      <c r="B56" s="2098" t="s">
        <v>17</v>
      </c>
      <c r="C56" s="2102"/>
      <c r="D56" s="2102"/>
      <c r="E56" s="2102"/>
      <c r="F56" s="2102"/>
      <c r="G56" s="209"/>
      <c r="H56" s="173" t="s">
        <v>95</v>
      </c>
      <c r="I56" s="1788"/>
      <c r="J56" s="1788"/>
      <c r="K56" s="1788"/>
      <c r="L56" s="1788"/>
      <c r="M56" s="1797"/>
      <c r="N56" s="230"/>
      <c r="O56" s="173" t="s">
        <v>95</v>
      </c>
      <c r="P56" s="1788"/>
      <c r="Q56" s="1788"/>
      <c r="R56" s="1788"/>
      <c r="S56" s="1788"/>
      <c r="T56" s="1803"/>
      <c r="U56" s="230"/>
      <c r="V56" s="173" t="s">
        <v>95</v>
      </c>
      <c r="W56" s="1788"/>
      <c r="X56" s="1788"/>
      <c r="Y56" s="1788"/>
      <c r="Z56" s="1788"/>
      <c r="AA56" s="1803"/>
      <c r="AB56" s="230"/>
      <c r="AC56" s="173" t="s">
        <v>95</v>
      </c>
      <c r="AD56" s="1788"/>
      <c r="AE56" s="1799"/>
      <c r="AF56" s="1799"/>
      <c r="AG56" s="1799"/>
      <c r="AH56" s="1795"/>
      <c r="AI56" s="230"/>
      <c r="AJ56" s="173" t="s">
        <v>95</v>
      </c>
      <c r="AK56" s="1788"/>
      <c r="AL56" s="1788"/>
      <c r="AM56" s="1788"/>
      <c r="AN56" s="1788"/>
      <c r="AO56" s="1806"/>
      <c r="AP56" s="211"/>
      <c r="AQ56" s="2098" t="s">
        <v>17</v>
      </c>
      <c r="AR56" s="2102"/>
      <c r="AS56" s="2102"/>
      <c r="AT56" s="2102"/>
      <c r="AU56" s="2102"/>
      <c r="AV56" s="40"/>
      <c r="AW56" s="40"/>
      <c r="AX56" s="40"/>
      <c r="AY56" s="40"/>
      <c r="AZ56" s="40"/>
      <c r="BA56" s="40"/>
      <c r="BB56" s="40"/>
      <c r="BC56" s="40"/>
      <c r="BD56" s="213"/>
      <c r="BE56" s="40"/>
      <c r="BF56" s="40"/>
      <c r="BG56" s="40"/>
      <c r="BH56" s="40"/>
      <c r="BI56" s="40"/>
      <c r="BJ56" s="40"/>
      <c r="BK56" s="40"/>
    </row>
    <row r="57" spans="1:63" ht="15" customHeight="1" x14ac:dyDescent="0.15">
      <c r="A57" s="13"/>
      <c r="B57" s="606" t="s">
        <v>14</v>
      </c>
      <c r="C57" s="607"/>
      <c r="D57" s="607"/>
      <c r="E57" s="607"/>
      <c r="F57" s="607"/>
      <c r="G57" s="209"/>
      <c r="H57" s="183" t="s">
        <v>100</v>
      </c>
      <c r="I57" s="1789"/>
      <c r="J57" s="1789"/>
      <c r="K57" s="1789"/>
      <c r="L57" s="1792"/>
      <c r="M57" s="1793"/>
      <c r="N57" s="231"/>
      <c r="O57" s="183" t="s">
        <v>100</v>
      </c>
      <c r="P57" s="1789"/>
      <c r="Q57" s="1792"/>
      <c r="R57" s="1792"/>
      <c r="S57" s="1792"/>
      <c r="T57" s="1793"/>
      <c r="U57" s="231"/>
      <c r="V57" s="183" t="s">
        <v>100</v>
      </c>
      <c r="W57" s="1789"/>
      <c r="X57" s="1789"/>
      <c r="Y57" s="1789"/>
      <c r="Z57" s="1789"/>
      <c r="AA57" s="1793"/>
      <c r="AB57" s="231"/>
      <c r="AC57" s="183" t="s">
        <v>100</v>
      </c>
      <c r="AD57" s="1789"/>
      <c r="AE57" s="1789"/>
      <c r="AF57" s="1789"/>
      <c r="AG57" s="1789"/>
      <c r="AH57" s="1793"/>
      <c r="AI57" s="231"/>
      <c r="AJ57" s="183" t="s">
        <v>100</v>
      </c>
      <c r="AK57" s="1789"/>
      <c r="AL57" s="1789"/>
      <c r="AM57" s="1789"/>
      <c r="AN57" s="1789"/>
      <c r="AO57" s="1793"/>
      <c r="AP57" s="216"/>
      <c r="AQ57" s="606" t="s">
        <v>14</v>
      </c>
      <c r="AR57" s="607"/>
      <c r="AS57" s="607"/>
      <c r="AT57" s="607"/>
      <c r="AU57" s="607"/>
      <c r="AV57" s="40"/>
      <c r="AW57" s="40"/>
      <c r="AX57" s="186"/>
      <c r="AY57" s="186"/>
      <c r="AZ57" s="186"/>
      <c r="BA57" s="186"/>
      <c r="BB57" s="186"/>
      <c r="BC57" s="40"/>
      <c r="BD57" s="217"/>
      <c r="BE57" s="40"/>
      <c r="BF57" s="40"/>
      <c r="BG57" s="40"/>
      <c r="BH57" s="40"/>
      <c r="BI57" s="40"/>
      <c r="BJ57" s="40"/>
      <c r="BK57" s="40"/>
    </row>
    <row r="58" spans="1:63" ht="24.75" customHeight="1" x14ac:dyDescent="0.25">
      <c r="A58" s="13"/>
      <c r="B58" s="1782" t="s">
        <v>9</v>
      </c>
      <c r="C58" s="1784"/>
      <c r="D58" s="1784"/>
      <c r="E58" s="1784"/>
      <c r="F58" s="1784"/>
      <c r="G58" s="218"/>
      <c r="H58" s="1992" t="s">
        <v>127</v>
      </c>
      <c r="I58" s="1452" t="s">
        <v>69</v>
      </c>
      <c r="J58" s="1455" t="s">
        <v>63</v>
      </c>
      <c r="K58" s="1455" t="s">
        <v>63</v>
      </c>
      <c r="L58" s="1453" t="s">
        <v>105</v>
      </c>
      <c r="M58" s="244"/>
      <c r="N58" s="139"/>
      <c r="O58" s="1997" t="s">
        <v>128</v>
      </c>
      <c r="P58" s="1452" t="s">
        <v>113</v>
      </c>
      <c r="Q58" s="1455" t="s">
        <v>63</v>
      </c>
      <c r="R58" s="1453" t="s">
        <v>107</v>
      </c>
      <c r="S58" s="1453" t="s">
        <v>105</v>
      </c>
      <c r="T58" s="193"/>
      <c r="U58" s="220"/>
      <c r="V58" s="2002" t="s">
        <v>129</v>
      </c>
      <c r="W58" s="1451" t="s">
        <v>68</v>
      </c>
      <c r="X58" s="1451" t="s">
        <v>68</v>
      </c>
      <c r="Y58" s="1451" t="s">
        <v>68</v>
      </c>
      <c r="Z58" s="1452" t="s">
        <v>69</v>
      </c>
      <c r="AA58" s="141"/>
      <c r="AB58" s="233"/>
      <c r="AC58" s="1999" t="s">
        <v>400</v>
      </c>
      <c r="AD58" s="1453" t="s">
        <v>107</v>
      </c>
      <c r="AE58" s="1452" t="s">
        <v>106</v>
      </c>
      <c r="AF58" s="1452" t="s">
        <v>106</v>
      </c>
      <c r="AG58" s="1455" t="s">
        <v>63</v>
      </c>
      <c r="AH58" s="194"/>
      <c r="AI58" s="220"/>
      <c r="AJ58" s="2006" t="s">
        <v>130</v>
      </c>
      <c r="AK58" s="1452" t="s">
        <v>113</v>
      </c>
      <c r="AL58" s="1455" t="s">
        <v>63</v>
      </c>
      <c r="AM58" s="1455" t="s">
        <v>63</v>
      </c>
      <c r="AN58" s="1453" t="s">
        <v>105</v>
      </c>
      <c r="AO58" s="145"/>
      <c r="AP58" s="222"/>
      <c r="AQ58" s="1782" t="s">
        <v>9</v>
      </c>
      <c r="AR58" s="1784"/>
      <c r="AS58" s="1784"/>
      <c r="AT58" s="1784"/>
      <c r="AU58" s="1784"/>
      <c r="AV58" s="40"/>
      <c r="AW58" s="40"/>
      <c r="AX58" s="197"/>
      <c r="AY58" s="197"/>
      <c r="AZ58" s="197"/>
      <c r="BA58" s="197"/>
      <c r="BB58" s="197"/>
      <c r="BC58" s="40"/>
      <c r="BD58" s="122"/>
      <c r="BE58" s="40"/>
      <c r="BF58" s="40"/>
      <c r="BG58" s="40"/>
      <c r="BH58" s="40"/>
      <c r="BI58" s="40"/>
      <c r="BJ58" s="40"/>
      <c r="BK58" s="40"/>
    </row>
    <row r="59" spans="1:63" ht="15" customHeight="1" x14ac:dyDescent="0.2">
      <c r="A59" s="13"/>
      <c r="B59" s="2099" t="s">
        <v>13</v>
      </c>
      <c r="C59" s="2103"/>
      <c r="D59" s="2103"/>
      <c r="E59" s="2103"/>
      <c r="F59" s="2103"/>
      <c r="G59" s="137"/>
      <c r="H59" s="152" t="s">
        <v>73</v>
      </c>
      <c r="I59" s="245">
        <f>Aspects!J12</f>
        <v>195.75699999999998</v>
      </c>
      <c r="J59" s="245">
        <f>Aspects!J11</f>
        <v>166.37766189620299</v>
      </c>
      <c r="K59" s="245">
        <f>Aspects!J10</f>
        <v>165.95187503223099</v>
      </c>
      <c r="L59" s="245">
        <f>Aspects!J9</f>
        <v>112.61195450062996</v>
      </c>
      <c r="M59" s="246"/>
      <c r="N59" s="247"/>
      <c r="O59" s="152" t="s">
        <v>73</v>
      </c>
      <c r="P59" s="245">
        <f>Aspects!K27</f>
        <v>47.607000000000006</v>
      </c>
      <c r="Q59" s="245">
        <f>Aspects!K26</f>
        <v>68.691330354913021</v>
      </c>
      <c r="R59" s="245">
        <f>Aspects!K25</f>
        <v>64.772120658886024</v>
      </c>
      <c r="S59" s="245">
        <f>Aspects!K24</f>
        <v>113.52546977546501</v>
      </c>
      <c r="T59" s="248"/>
      <c r="U59" s="247"/>
      <c r="V59" s="152" t="s">
        <v>73</v>
      </c>
      <c r="W59" s="245">
        <f>Aspects!H17</f>
        <v>11.630000000000003</v>
      </c>
      <c r="X59" s="245">
        <f>Aspects!H16</f>
        <v>13.403709860505984</v>
      </c>
      <c r="Y59" s="245">
        <f>Aspects!H15</f>
        <v>14.245422068994998</v>
      </c>
      <c r="Z59" s="245">
        <f>Aspects!H14</f>
        <v>198.725215081996</v>
      </c>
      <c r="AA59" s="248"/>
      <c r="AB59" s="247"/>
      <c r="AC59" s="152" t="s">
        <v>73</v>
      </c>
      <c r="AD59" s="153">
        <f>Aspects!K22</f>
        <v>62.006</v>
      </c>
      <c r="AE59" s="153">
        <f>Aspects!K21</f>
        <v>84.970446395166022</v>
      </c>
      <c r="AF59" s="153">
        <f>Aspects!K20</f>
        <v>82.121039108856024</v>
      </c>
      <c r="AG59" s="153">
        <f>Aspects!K19</f>
        <v>108.09291142051299</v>
      </c>
      <c r="AH59" s="237"/>
      <c r="AI59" s="247"/>
      <c r="AJ59" s="152" t="s">
        <v>73</v>
      </c>
      <c r="AK59" s="245">
        <f>Aspects!J17</f>
        <v>47.515999999999998</v>
      </c>
      <c r="AL59" s="245">
        <f>Aspects!J16</f>
        <v>69.629904916784028</v>
      </c>
      <c r="AM59" s="245">
        <f>Aspects!J15</f>
        <v>65.487579303628991</v>
      </c>
      <c r="AN59" s="245">
        <f>Aspects!J14</f>
        <v>113.70284309254498</v>
      </c>
      <c r="AO59" s="249"/>
      <c r="AP59" s="222"/>
      <c r="AQ59" s="2099" t="s">
        <v>13</v>
      </c>
      <c r="AR59" s="2103"/>
      <c r="AS59" s="2103"/>
      <c r="AT59" s="2103"/>
      <c r="AU59" s="2103"/>
      <c r="AV59" s="40"/>
      <c r="AW59" s="40"/>
      <c r="AX59" s="202"/>
      <c r="AY59" s="202"/>
      <c r="AZ59" s="202"/>
      <c r="BA59" s="202"/>
      <c r="BB59" s="202"/>
      <c r="BC59" s="40"/>
      <c r="BD59" s="250"/>
      <c r="BE59" s="40"/>
      <c r="BF59" s="40"/>
      <c r="BG59" s="40"/>
      <c r="BH59" s="40"/>
      <c r="BI59" s="40"/>
      <c r="BJ59" s="40"/>
      <c r="BK59" s="40"/>
    </row>
    <row r="60" spans="1:63" ht="15" customHeight="1" x14ac:dyDescent="0.2">
      <c r="A60" s="13"/>
      <c r="B60" s="40"/>
      <c r="C60" s="190"/>
      <c r="D60" s="190"/>
      <c r="E60" s="190"/>
      <c r="F60" s="190"/>
      <c r="G60" s="137"/>
      <c r="H60" s="160" t="s">
        <v>75</v>
      </c>
      <c r="I60" s="161"/>
      <c r="J60" s="161"/>
      <c r="K60" s="161"/>
      <c r="L60" s="161">
        <f>120-L59</f>
        <v>7.3880454993700369</v>
      </c>
      <c r="M60" s="162"/>
      <c r="N60" s="247"/>
      <c r="O60" s="160" t="s">
        <v>75</v>
      </c>
      <c r="P60" s="161">
        <f>P59-45</f>
        <v>2.6070000000000064</v>
      </c>
      <c r="Q60" s="161"/>
      <c r="R60" s="161">
        <f>R59-60</f>
        <v>4.7721206588860241</v>
      </c>
      <c r="S60" s="161">
        <f>120-S59</f>
        <v>6.4745302245349876</v>
      </c>
      <c r="T60" s="241"/>
      <c r="U60" s="247"/>
      <c r="V60" s="160" t="s">
        <v>75</v>
      </c>
      <c r="W60" s="161">
        <f>W59</f>
        <v>11.630000000000003</v>
      </c>
      <c r="X60" s="161">
        <f>X59</f>
        <v>13.403709860505984</v>
      </c>
      <c r="Y60" s="161">
        <f>Y59</f>
        <v>14.245422068994998</v>
      </c>
      <c r="Z60" s="161">
        <f>Z59-180</f>
        <v>18.725215081995998</v>
      </c>
      <c r="AA60" s="241"/>
      <c r="AB60" s="247"/>
      <c r="AC60" s="160" t="s">
        <v>75</v>
      </c>
      <c r="AD60" s="161">
        <f>AD59-60</f>
        <v>2.0060000000000002</v>
      </c>
      <c r="AE60" s="161">
        <f>90-AE59</f>
        <v>5.0295536048339784</v>
      </c>
      <c r="AF60" s="161">
        <f>90-AF59</f>
        <v>7.8789608911439757</v>
      </c>
      <c r="AG60" s="161"/>
      <c r="AH60" s="241"/>
      <c r="AI60" s="247"/>
      <c r="AJ60" s="160" t="s">
        <v>75</v>
      </c>
      <c r="AK60" s="161">
        <f>AK59-45</f>
        <v>2.5159999999999982</v>
      </c>
      <c r="AL60" s="161"/>
      <c r="AM60" s="161"/>
      <c r="AN60" s="161">
        <f>120-AN59</f>
        <v>6.2971569074550189</v>
      </c>
      <c r="AO60" s="242"/>
      <c r="AP60" s="222"/>
      <c r="AQ60" s="40"/>
      <c r="AR60" s="40"/>
      <c r="AS60" s="40"/>
      <c r="AT60" s="40"/>
      <c r="AU60" s="40"/>
      <c r="AV60" s="40"/>
      <c r="AW60" s="40"/>
      <c r="AX60" s="202"/>
      <c r="AY60" s="202"/>
      <c r="AZ60" s="202"/>
      <c r="BA60" s="202"/>
      <c r="BB60" s="202"/>
      <c r="BC60" s="40"/>
      <c r="BD60" s="250"/>
      <c r="BE60" s="40"/>
      <c r="BF60" s="40"/>
      <c r="BG60" s="40"/>
      <c r="BH60" s="40"/>
      <c r="BI60" s="40"/>
      <c r="BJ60" s="40"/>
      <c r="BK60" s="40"/>
    </row>
    <row r="61" spans="1:63" ht="15" customHeight="1" x14ac:dyDescent="0.15">
      <c r="A61" s="13"/>
      <c r="B61" s="208"/>
      <c r="C61" s="40"/>
      <c r="D61" s="40"/>
      <c r="E61" s="40"/>
      <c r="F61" s="40"/>
      <c r="G61" s="209"/>
      <c r="H61" s="165" t="s">
        <v>76</v>
      </c>
      <c r="I61" s="166"/>
      <c r="J61" s="166"/>
      <c r="K61" s="166"/>
      <c r="L61" s="166"/>
      <c r="M61" s="167"/>
      <c r="N61" s="168"/>
      <c r="O61" s="165" t="s">
        <v>76</v>
      </c>
      <c r="P61" s="166"/>
      <c r="Q61" s="166"/>
      <c r="R61" s="166"/>
      <c r="S61" s="166"/>
      <c r="T61" s="167"/>
      <c r="U61" s="169"/>
      <c r="V61" s="165" t="s">
        <v>76</v>
      </c>
      <c r="W61" s="166"/>
      <c r="X61" s="166"/>
      <c r="Y61" s="166"/>
      <c r="Z61" s="166"/>
      <c r="AA61" s="167"/>
      <c r="AB61" s="169"/>
      <c r="AC61" s="165" t="s">
        <v>76</v>
      </c>
      <c r="AD61" s="166"/>
      <c r="AE61" s="166"/>
      <c r="AF61" s="166"/>
      <c r="AG61" s="166"/>
      <c r="AH61" s="167"/>
      <c r="AI61" s="169"/>
      <c r="AJ61" s="165" t="s">
        <v>76</v>
      </c>
      <c r="AK61" s="166"/>
      <c r="AL61" s="166"/>
      <c r="AM61" s="166"/>
      <c r="AN61" s="166"/>
      <c r="AO61" s="170"/>
      <c r="AP61" s="205"/>
      <c r="AQ61" s="40"/>
      <c r="AR61" s="40"/>
      <c r="AS61" s="40"/>
      <c r="AT61" s="40"/>
      <c r="AU61" s="40"/>
      <c r="AV61" s="40"/>
      <c r="AW61" s="40"/>
      <c r="AX61" s="251"/>
      <c r="AY61" s="251"/>
      <c r="AZ61" s="251"/>
      <c r="BA61" s="251"/>
      <c r="BB61" s="251"/>
      <c r="BC61" s="40"/>
      <c r="BD61" s="207"/>
      <c r="BE61" s="40"/>
      <c r="BF61" s="40"/>
      <c r="BG61" s="40"/>
      <c r="BH61" s="40"/>
      <c r="BI61" s="40"/>
      <c r="BJ61" s="40"/>
      <c r="BK61" s="40"/>
    </row>
    <row r="62" spans="1:63" ht="15" customHeight="1" x14ac:dyDescent="0.15">
      <c r="A62" s="13"/>
      <c r="B62" s="208"/>
      <c r="C62" s="208"/>
      <c r="D62" s="208"/>
      <c r="E62" s="208"/>
      <c r="F62" s="208"/>
      <c r="G62" s="209"/>
      <c r="H62" s="173" t="s">
        <v>80</v>
      </c>
      <c r="I62" s="1788"/>
      <c r="J62" s="1788"/>
      <c r="K62" s="1788"/>
      <c r="L62" s="1788"/>
      <c r="M62" s="1791"/>
      <c r="N62" s="230"/>
      <c r="O62" s="173" t="s">
        <v>80</v>
      </c>
      <c r="P62" s="1788"/>
      <c r="Q62" s="1788"/>
      <c r="R62" s="1788"/>
      <c r="S62" s="1788"/>
      <c r="T62" s="1803"/>
      <c r="U62" s="230"/>
      <c r="V62" s="173" t="s">
        <v>80</v>
      </c>
      <c r="W62" s="1799"/>
      <c r="X62" s="1799"/>
      <c r="Y62" s="1799"/>
      <c r="Z62" s="1799"/>
      <c r="AA62" s="1801"/>
      <c r="AB62" s="230"/>
      <c r="AC62" s="173" t="s">
        <v>80</v>
      </c>
      <c r="AD62" s="1799"/>
      <c r="AE62" s="1799"/>
      <c r="AF62" s="1799"/>
      <c r="AG62" s="1799"/>
      <c r="AH62" s="1795"/>
      <c r="AI62" s="230"/>
      <c r="AJ62" s="173" t="s">
        <v>80</v>
      </c>
      <c r="AK62" s="1788"/>
      <c r="AL62" s="1788"/>
      <c r="AM62" s="1788"/>
      <c r="AN62" s="1788"/>
      <c r="AO62" s="1806"/>
      <c r="AP62" s="211"/>
      <c r="AQ62" s="208"/>
      <c r="AR62" s="208"/>
      <c r="AS62" s="208"/>
      <c r="AT62" s="208"/>
      <c r="AU62" s="208"/>
      <c r="AV62" s="40"/>
      <c r="AW62" s="40"/>
      <c r="AX62" s="212"/>
      <c r="AY62" s="212"/>
      <c r="AZ62" s="212"/>
      <c r="BA62" s="212"/>
      <c r="BB62" s="212"/>
      <c r="BC62" s="40"/>
      <c r="BD62" s="213"/>
      <c r="BE62" s="40"/>
      <c r="BF62" s="40"/>
      <c r="BG62" s="40"/>
      <c r="BH62" s="40"/>
      <c r="BI62" s="40"/>
      <c r="BJ62" s="40"/>
      <c r="BK62" s="40"/>
    </row>
    <row r="63" spans="1:63" ht="15" customHeight="1" x14ac:dyDescent="0.15">
      <c r="A63" s="13"/>
      <c r="B63" s="208"/>
      <c r="C63" s="208"/>
      <c r="D63" s="208"/>
      <c r="E63" s="208"/>
      <c r="F63" s="208"/>
      <c r="G63" s="209"/>
      <c r="H63" s="173" t="s">
        <v>85</v>
      </c>
      <c r="I63" s="1788"/>
      <c r="J63" s="1788"/>
      <c r="K63" s="1788"/>
      <c r="L63" s="1788"/>
      <c r="M63" s="1791"/>
      <c r="N63" s="230"/>
      <c r="O63" s="173" t="s">
        <v>85</v>
      </c>
      <c r="P63" s="1788"/>
      <c r="Q63" s="1788"/>
      <c r="R63" s="1788"/>
      <c r="S63" s="1788"/>
      <c r="T63" s="1803"/>
      <c r="U63" s="230"/>
      <c r="V63" s="173" t="s">
        <v>85</v>
      </c>
      <c r="W63" s="1799"/>
      <c r="X63" s="1799"/>
      <c r="Y63" s="1799"/>
      <c r="Z63" s="1799"/>
      <c r="AA63" s="1801"/>
      <c r="AB63" s="230"/>
      <c r="AC63" s="173" t="s">
        <v>85</v>
      </c>
      <c r="AD63" s="1799"/>
      <c r="AE63" s="1799"/>
      <c r="AF63" s="1799"/>
      <c r="AG63" s="1799"/>
      <c r="AH63" s="1795"/>
      <c r="AI63" s="230"/>
      <c r="AJ63" s="173" t="s">
        <v>85</v>
      </c>
      <c r="AK63" s="1788"/>
      <c r="AL63" s="1788"/>
      <c r="AM63" s="1788"/>
      <c r="AN63" s="1788"/>
      <c r="AO63" s="1806"/>
      <c r="AP63" s="211"/>
      <c r="AQ63" s="208"/>
      <c r="AR63" s="208" t="s">
        <v>185</v>
      </c>
      <c r="AS63" s="208"/>
      <c r="AT63" s="208"/>
      <c r="AU63" s="208"/>
      <c r="AV63" s="40"/>
      <c r="AW63" s="40"/>
      <c r="AX63" s="40"/>
      <c r="AY63" s="40"/>
      <c r="AZ63" s="40"/>
      <c r="BA63" s="40"/>
      <c r="BB63" s="40"/>
      <c r="BC63" s="40"/>
      <c r="BD63" s="213"/>
      <c r="BE63" s="40"/>
      <c r="BF63" s="40"/>
      <c r="BG63" s="40"/>
      <c r="BH63" s="40"/>
      <c r="BI63" s="40"/>
      <c r="BJ63" s="40"/>
      <c r="BK63" s="40"/>
    </row>
    <row r="64" spans="1:63" ht="15" customHeight="1" x14ac:dyDescent="0.15">
      <c r="A64" s="13"/>
      <c r="B64" s="208"/>
      <c r="C64" s="208"/>
      <c r="D64" s="208"/>
      <c r="E64" s="208"/>
      <c r="F64" s="208"/>
      <c r="G64" s="209"/>
      <c r="H64" s="173" t="s">
        <v>90</v>
      </c>
      <c r="I64" s="1788"/>
      <c r="J64" s="1788"/>
      <c r="K64" s="1788"/>
      <c r="L64" s="1788"/>
      <c r="M64" s="1791"/>
      <c r="N64" s="230"/>
      <c r="O64" s="173" t="s">
        <v>90</v>
      </c>
      <c r="P64" s="1788"/>
      <c r="Q64" s="1788"/>
      <c r="R64" s="1788"/>
      <c r="S64" s="1788"/>
      <c r="T64" s="1803"/>
      <c r="U64" s="230"/>
      <c r="V64" s="173" t="s">
        <v>90</v>
      </c>
      <c r="W64" s="1799"/>
      <c r="X64" s="1799"/>
      <c r="Y64" s="1799"/>
      <c r="Z64" s="1799"/>
      <c r="AA64" s="1801"/>
      <c r="AB64" s="230"/>
      <c r="AC64" s="173" t="s">
        <v>90</v>
      </c>
      <c r="AD64" s="1799"/>
      <c r="AE64" s="1799"/>
      <c r="AF64" s="1799"/>
      <c r="AG64" s="1799"/>
      <c r="AH64" s="1795"/>
      <c r="AI64" s="230"/>
      <c r="AJ64" s="173" t="s">
        <v>90</v>
      </c>
      <c r="AK64" s="1788"/>
      <c r="AL64" s="1788"/>
      <c r="AM64" s="1788"/>
      <c r="AN64" s="1788"/>
      <c r="AO64" s="1806"/>
      <c r="AP64" s="211"/>
      <c r="AQ64" s="208"/>
      <c r="AR64" s="208"/>
      <c r="AS64" s="40"/>
      <c r="AT64" s="208"/>
      <c r="AU64" s="208"/>
      <c r="AV64" s="40"/>
      <c r="AW64" s="40"/>
      <c r="AX64" s="40"/>
      <c r="AY64" s="40"/>
      <c r="AZ64" s="40"/>
      <c r="BA64" s="40"/>
      <c r="BB64" s="40"/>
      <c r="BC64" s="40"/>
      <c r="BD64" s="213"/>
      <c r="BE64" s="40"/>
      <c r="BF64" s="40"/>
      <c r="BG64" s="40"/>
      <c r="BH64" s="40"/>
      <c r="BI64" s="40"/>
      <c r="BJ64" s="40"/>
      <c r="BK64" s="40"/>
    </row>
    <row r="65" spans="1:63" ht="15" customHeight="1" x14ac:dyDescent="0.15">
      <c r="A65" s="13"/>
      <c r="B65" s="215"/>
      <c r="C65" s="1451" t="s">
        <v>68</v>
      </c>
      <c r="D65" s="208"/>
      <c r="E65" s="208"/>
      <c r="F65" s="208"/>
      <c r="G65" s="209"/>
      <c r="H65" s="173" t="s">
        <v>95</v>
      </c>
      <c r="I65" s="1788"/>
      <c r="J65" s="1788"/>
      <c r="K65" s="1788"/>
      <c r="L65" s="1788"/>
      <c r="M65" s="1791"/>
      <c r="N65" s="230"/>
      <c r="O65" s="173" t="s">
        <v>95</v>
      </c>
      <c r="P65" s="1788"/>
      <c r="Q65" s="1788"/>
      <c r="R65" s="1788"/>
      <c r="S65" s="1788"/>
      <c r="T65" s="1803"/>
      <c r="U65" s="230"/>
      <c r="V65" s="173" t="s">
        <v>95</v>
      </c>
      <c r="W65" s="1799"/>
      <c r="X65" s="1799"/>
      <c r="Y65" s="1799"/>
      <c r="Z65" s="1799"/>
      <c r="AA65" s="1801"/>
      <c r="AB65" s="230"/>
      <c r="AC65" s="173" t="s">
        <v>95</v>
      </c>
      <c r="AD65" s="1808"/>
      <c r="AE65" s="1799"/>
      <c r="AF65" s="1799"/>
      <c r="AG65" s="1799"/>
      <c r="AH65" s="1795"/>
      <c r="AI65" s="230"/>
      <c r="AJ65" s="173" t="s">
        <v>95</v>
      </c>
      <c r="AK65" s="1788"/>
      <c r="AL65" s="1788"/>
      <c r="AM65" s="1788"/>
      <c r="AN65" s="1788"/>
      <c r="AO65" s="1806"/>
      <c r="AP65" s="211"/>
      <c r="AQ65" s="208"/>
      <c r="AR65" s="208"/>
      <c r="AS65" s="40"/>
      <c r="AT65" s="208"/>
      <c r="AU65" s="208"/>
      <c r="AV65" s="40"/>
      <c r="AW65" s="40"/>
      <c r="AX65" s="40"/>
      <c r="AY65" s="40"/>
      <c r="AZ65" s="40"/>
      <c r="BA65" s="40"/>
      <c r="BB65" s="40"/>
      <c r="BC65" s="40"/>
      <c r="BD65" s="213"/>
      <c r="BE65" s="40"/>
      <c r="BF65" s="40"/>
      <c r="BG65" s="40"/>
      <c r="BH65" s="40"/>
      <c r="BI65" s="40"/>
      <c r="BJ65" s="40"/>
      <c r="BK65" s="40"/>
    </row>
    <row r="66" spans="1:63" ht="15" customHeight="1" x14ac:dyDescent="0.15">
      <c r="A66" s="13"/>
      <c r="B66" s="40"/>
      <c r="C66" s="208"/>
      <c r="D66" s="215"/>
      <c r="E66" s="215"/>
      <c r="F66" s="215"/>
      <c r="G66" s="209"/>
      <c r="H66" s="183" t="s">
        <v>100</v>
      </c>
      <c r="I66" s="1789"/>
      <c r="J66" s="1789"/>
      <c r="K66" s="1789"/>
      <c r="L66" s="1789"/>
      <c r="M66" s="1793"/>
      <c r="N66" s="231"/>
      <c r="O66" s="183" t="s">
        <v>100</v>
      </c>
      <c r="P66" s="1792"/>
      <c r="Q66" s="1792"/>
      <c r="R66" s="1792"/>
      <c r="S66" s="1789"/>
      <c r="T66" s="1793"/>
      <c r="U66" s="231"/>
      <c r="V66" s="183" t="s">
        <v>100</v>
      </c>
      <c r="W66" s="1789"/>
      <c r="X66" s="1802"/>
      <c r="Y66" s="1789"/>
      <c r="Z66" s="1789"/>
      <c r="AA66" s="1793"/>
      <c r="AB66" s="231"/>
      <c r="AC66" s="183" t="s">
        <v>100</v>
      </c>
      <c r="AD66" s="1802"/>
      <c r="AE66" s="1789"/>
      <c r="AF66" s="1802"/>
      <c r="AG66" s="1789"/>
      <c r="AH66" s="1793"/>
      <c r="AI66" s="231"/>
      <c r="AJ66" s="183" t="s">
        <v>100</v>
      </c>
      <c r="AK66" s="1789"/>
      <c r="AL66" s="1789"/>
      <c r="AM66" s="1789"/>
      <c r="AN66" s="1789"/>
      <c r="AO66" s="1793"/>
      <c r="AP66" s="216"/>
      <c r="AQ66" s="215"/>
      <c r="AR66" s="215"/>
      <c r="AS66" s="40"/>
      <c r="AT66" s="215"/>
      <c r="AU66" s="215"/>
      <c r="AV66" s="40"/>
      <c r="AW66" s="40"/>
      <c r="AX66" s="186"/>
      <c r="AY66" s="186"/>
      <c r="AZ66" s="186"/>
      <c r="BA66" s="186"/>
      <c r="BB66" s="186"/>
      <c r="BC66" s="40"/>
      <c r="BD66" s="217"/>
      <c r="BE66" s="40"/>
      <c r="BF66" s="40"/>
      <c r="BG66" s="40"/>
      <c r="BH66" s="40"/>
      <c r="BI66" s="40"/>
      <c r="BJ66" s="40"/>
      <c r="BK66" s="40"/>
    </row>
    <row r="67" spans="1:63" ht="24.75" customHeight="1" x14ac:dyDescent="0.25">
      <c r="A67" s="13"/>
      <c r="B67" s="204"/>
      <c r="C67" s="1452" t="s">
        <v>69</v>
      </c>
      <c r="D67" s="40"/>
      <c r="E67" s="40"/>
      <c r="F67" s="40"/>
      <c r="G67" s="218"/>
      <c r="H67" s="1993" t="s">
        <v>131</v>
      </c>
      <c r="I67" s="1452" t="s">
        <v>69</v>
      </c>
      <c r="J67" s="1455" t="s">
        <v>63</v>
      </c>
      <c r="K67" s="1455" t="s">
        <v>63</v>
      </c>
      <c r="L67" s="1453" t="s">
        <v>105</v>
      </c>
      <c r="M67" s="252"/>
      <c r="N67" s="142"/>
      <c r="O67" s="1996" t="s">
        <v>132</v>
      </c>
      <c r="P67" s="1455" t="s">
        <v>63</v>
      </c>
      <c r="Q67" s="1455" t="s">
        <v>63</v>
      </c>
      <c r="R67" s="1455" t="s">
        <v>63</v>
      </c>
      <c r="S67" s="1452" t="s">
        <v>113</v>
      </c>
      <c r="T67" s="143"/>
      <c r="U67" s="220"/>
      <c r="V67" s="1999" t="s">
        <v>401</v>
      </c>
      <c r="W67" s="1451" t="s">
        <v>68</v>
      </c>
      <c r="X67" s="1451" t="s">
        <v>68</v>
      </c>
      <c r="Y67" s="1451" t="s">
        <v>68</v>
      </c>
      <c r="Z67" s="1455" t="s">
        <v>63</v>
      </c>
      <c r="AA67" s="143"/>
      <c r="AB67" s="235"/>
      <c r="AC67" s="1995" t="s">
        <v>133</v>
      </c>
      <c r="AD67" s="1453" t="s">
        <v>107</v>
      </c>
      <c r="AE67" s="1452" t="s">
        <v>106</v>
      </c>
      <c r="AF67" s="1455" t="s">
        <v>63</v>
      </c>
      <c r="AG67" s="1452" t="s">
        <v>106</v>
      </c>
      <c r="AH67" s="193"/>
      <c r="AI67" s="235"/>
      <c r="AJ67" s="2006" t="s">
        <v>134</v>
      </c>
      <c r="AK67" s="1452" t="s">
        <v>113</v>
      </c>
      <c r="AL67" s="1455" t="s">
        <v>63</v>
      </c>
      <c r="AM67" s="1455" t="s">
        <v>63</v>
      </c>
      <c r="AN67" s="1453" t="s">
        <v>105</v>
      </c>
      <c r="AO67" s="145"/>
      <c r="AP67" s="222"/>
      <c r="AQ67" s="40"/>
      <c r="AR67" s="40"/>
      <c r="AS67" s="40"/>
      <c r="AT67" s="1451" t="s">
        <v>68</v>
      </c>
      <c r="AU67" s="40"/>
      <c r="AV67" s="40"/>
      <c r="AW67" s="40"/>
      <c r="AX67" s="197"/>
      <c r="AY67" s="197"/>
      <c r="AZ67" s="197"/>
      <c r="BA67" s="197"/>
      <c r="BB67" s="197"/>
      <c r="BC67" s="40"/>
      <c r="BD67" s="122"/>
      <c r="BE67" s="40"/>
      <c r="BF67" s="40"/>
      <c r="BG67" s="40"/>
      <c r="BH67" s="40"/>
      <c r="BI67" s="40"/>
      <c r="BJ67" s="40"/>
      <c r="BK67" s="40"/>
    </row>
    <row r="68" spans="1:63" ht="15" customHeight="1" x14ac:dyDescent="0.2">
      <c r="A68" s="13"/>
      <c r="B68" s="204"/>
      <c r="C68" s="215"/>
      <c r="D68" s="204"/>
      <c r="E68" s="204"/>
      <c r="F68" s="204"/>
      <c r="G68" s="209"/>
      <c r="H68" s="152" t="s">
        <v>73</v>
      </c>
      <c r="I68" s="153">
        <f>Aspects!K12</f>
        <v>195.08099999999996</v>
      </c>
      <c r="J68" s="153">
        <f>Aspects!K11</f>
        <v>166.066497242065</v>
      </c>
      <c r="K68" s="153">
        <f>Aspects!K10</f>
        <v>165.81365616904202</v>
      </c>
      <c r="L68" s="153">
        <f>Aspects!K9</f>
        <v>113.66951481593799</v>
      </c>
      <c r="M68" s="154"/>
      <c r="N68" s="156"/>
      <c r="O68" s="152" t="s">
        <v>73</v>
      </c>
      <c r="P68" s="153">
        <f>Aspects!J32</f>
        <v>36.542999999999999</v>
      </c>
      <c r="Q68" s="153">
        <f>Aspects!J31</f>
        <v>54.890495055136029</v>
      </c>
      <c r="R68" s="153">
        <f>Aspects!J30</f>
        <v>50.916839826331994</v>
      </c>
      <c r="S68" s="153">
        <f>Aspects!J29</f>
        <v>44.390844536773017</v>
      </c>
      <c r="T68" s="154"/>
      <c r="U68" s="200"/>
      <c r="V68" s="152" t="s">
        <v>73</v>
      </c>
      <c r="W68" s="153">
        <f>Aspects!H22</f>
        <v>2.1840000000000011</v>
      </c>
      <c r="X68" s="153">
        <f>Aspects!H21</f>
        <v>2.2479962720140065</v>
      </c>
      <c r="Y68" s="153">
        <f>Aspects!H20</f>
        <v>2.5262565994210036</v>
      </c>
      <c r="Z68" s="153">
        <f>Aspects!H19</f>
        <v>24.128099746369998</v>
      </c>
      <c r="AA68" s="154"/>
      <c r="AB68" s="200"/>
      <c r="AC68" s="152" t="s">
        <v>73</v>
      </c>
      <c r="AD68" s="245">
        <f>Aspects!K37</f>
        <v>59.822000000000003</v>
      </c>
      <c r="AE68" s="245">
        <f>Aspects!K36</f>
        <v>82.722450123152015</v>
      </c>
      <c r="AF68" s="245">
        <f>Aspects!K35</f>
        <v>79.594782509435021</v>
      </c>
      <c r="AG68" s="245">
        <f>Aspects!K34</f>
        <v>83.964811674142993</v>
      </c>
      <c r="AH68" s="253"/>
      <c r="AI68" s="200"/>
      <c r="AJ68" s="152" t="s">
        <v>73</v>
      </c>
      <c r="AK68" s="245">
        <f>Aspects!K17</f>
        <v>48.192</v>
      </c>
      <c r="AL68" s="245">
        <f>Aspects!K16</f>
        <v>69.318740262646031</v>
      </c>
      <c r="AM68" s="245">
        <f>Aspects!K15</f>
        <v>65.349360440440023</v>
      </c>
      <c r="AN68" s="245">
        <f>Aspects!K14</f>
        <v>114.760403407853</v>
      </c>
      <c r="AO68" s="249"/>
      <c r="AP68" s="222"/>
      <c r="AQ68" s="40"/>
      <c r="AR68" s="40"/>
      <c r="AS68" s="40"/>
      <c r="AT68" s="208"/>
      <c r="AU68" s="204"/>
      <c r="AV68" s="40"/>
      <c r="AW68" s="40"/>
      <c r="AX68" s="202"/>
      <c r="AY68" s="202"/>
      <c r="AZ68" s="202"/>
      <c r="BA68" s="202"/>
      <c r="BB68" s="202"/>
      <c r="BC68" s="40"/>
      <c r="BD68" s="203"/>
      <c r="BE68" s="40"/>
      <c r="BF68" s="40"/>
      <c r="BG68" s="40"/>
      <c r="BH68" s="40"/>
      <c r="BI68" s="40"/>
      <c r="BJ68" s="40"/>
      <c r="BK68" s="40"/>
    </row>
    <row r="69" spans="1:63" ht="15" customHeight="1" x14ac:dyDescent="0.2">
      <c r="A69" s="13"/>
      <c r="B69" s="204"/>
      <c r="C69" s="1453" t="s">
        <v>105</v>
      </c>
      <c r="D69" s="204"/>
      <c r="E69" s="204"/>
      <c r="F69" s="204"/>
      <c r="G69" s="209"/>
      <c r="H69" s="160" t="s">
        <v>75</v>
      </c>
      <c r="I69" s="161">
        <f>I68-180</f>
        <v>15.08099999999996</v>
      </c>
      <c r="J69" s="161"/>
      <c r="K69" s="161"/>
      <c r="L69" s="161">
        <f>120-L68</f>
        <v>6.3304851840620131</v>
      </c>
      <c r="M69" s="162"/>
      <c r="N69" s="156"/>
      <c r="O69" s="160" t="s">
        <v>75</v>
      </c>
      <c r="P69" s="161"/>
      <c r="Q69" s="161"/>
      <c r="R69" s="161"/>
      <c r="S69" s="161">
        <f>45-S68</f>
        <v>0.60915546322698333</v>
      </c>
      <c r="T69" s="162"/>
      <c r="U69" s="200"/>
      <c r="V69" s="160" t="s">
        <v>75</v>
      </c>
      <c r="W69" s="161">
        <f>W68</f>
        <v>2.1840000000000011</v>
      </c>
      <c r="X69" s="161">
        <f>X68</f>
        <v>2.2479962720140065</v>
      </c>
      <c r="Y69" s="161">
        <f>Y68</f>
        <v>2.5262565994210036</v>
      </c>
      <c r="Z69" s="161"/>
      <c r="AA69" s="162"/>
      <c r="AB69" s="200"/>
      <c r="AC69" s="160" t="s">
        <v>75</v>
      </c>
      <c r="AD69" s="161">
        <f>60-AD68</f>
        <v>0.17799999999999727</v>
      </c>
      <c r="AE69" s="161">
        <f>90-AE68</f>
        <v>7.2775498768479849</v>
      </c>
      <c r="AF69" s="161"/>
      <c r="AG69" s="161">
        <f>90-AG68</f>
        <v>6.0351883258570069</v>
      </c>
      <c r="AH69" s="254"/>
      <c r="AI69" s="200"/>
      <c r="AJ69" s="160" t="s">
        <v>75</v>
      </c>
      <c r="AK69" s="161">
        <f>AK68-45</f>
        <v>3.1920000000000002</v>
      </c>
      <c r="AL69" s="161"/>
      <c r="AM69" s="161"/>
      <c r="AN69" s="161">
        <f>120-AN68</f>
        <v>5.2395965921469951</v>
      </c>
      <c r="AO69" s="242"/>
      <c r="AP69" s="222"/>
      <c r="AQ69" s="40"/>
      <c r="AR69" s="40"/>
      <c r="AS69" s="40"/>
      <c r="AT69" s="1452" t="s">
        <v>69</v>
      </c>
      <c r="AU69" s="204"/>
      <c r="AV69" s="40"/>
      <c r="AW69" s="40"/>
      <c r="AX69" s="202"/>
      <c r="AY69" s="202"/>
      <c r="AZ69" s="202"/>
      <c r="BA69" s="202"/>
      <c r="BB69" s="202"/>
      <c r="BC69" s="40"/>
      <c r="BD69" s="203"/>
      <c r="BE69" s="40"/>
      <c r="BF69" s="40"/>
      <c r="BG69" s="40"/>
      <c r="BH69" s="40"/>
      <c r="BI69" s="40"/>
      <c r="BJ69" s="40"/>
      <c r="BK69" s="40"/>
    </row>
    <row r="70" spans="1:63" ht="15" customHeight="1" x14ac:dyDescent="0.15">
      <c r="A70" s="13"/>
      <c r="B70" s="208"/>
      <c r="C70" s="204"/>
      <c r="D70" s="204"/>
      <c r="E70" s="204"/>
      <c r="F70" s="204"/>
      <c r="G70" s="209"/>
      <c r="H70" s="165" t="s">
        <v>76</v>
      </c>
      <c r="I70" s="166"/>
      <c r="J70" s="166"/>
      <c r="K70" s="166"/>
      <c r="L70" s="166"/>
      <c r="M70" s="167"/>
      <c r="N70" s="168"/>
      <c r="O70" s="165" t="s">
        <v>76</v>
      </c>
      <c r="P70" s="166"/>
      <c r="Q70" s="166"/>
      <c r="R70" s="166"/>
      <c r="S70" s="166"/>
      <c r="T70" s="167"/>
      <c r="U70" s="169"/>
      <c r="V70" s="165" t="s">
        <v>76</v>
      </c>
      <c r="W70" s="166"/>
      <c r="X70" s="166"/>
      <c r="Y70" s="166"/>
      <c r="Z70" s="166"/>
      <c r="AA70" s="167"/>
      <c r="AB70" s="169"/>
      <c r="AC70" s="165" t="s">
        <v>76</v>
      </c>
      <c r="AD70" s="166"/>
      <c r="AE70" s="166"/>
      <c r="AF70" s="166"/>
      <c r="AG70" s="166"/>
      <c r="AH70" s="167"/>
      <c r="AI70" s="169"/>
      <c r="AJ70" s="165" t="s">
        <v>76</v>
      </c>
      <c r="AK70" s="166"/>
      <c r="AL70" s="166"/>
      <c r="AM70" s="166"/>
      <c r="AN70" s="166"/>
      <c r="AO70" s="170"/>
      <c r="AP70" s="205"/>
      <c r="AQ70" s="204"/>
      <c r="AR70" s="204"/>
      <c r="AS70" s="40"/>
      <c r="AT70" s="215"/>
      <c r="AU70" s="204"/>
      <c r="AV70" s="40"/>
      <c r="AW70" s="40"/>
      <c r="AX70" s="206"/>
      <c r="AY70" s="206"/>
      <c r="AZ70" s="206"/>
      <c r="BA70" s="206"/>
      <c r="BB70" s="206"/>
      <c r="BC70" s="40"/>
      <c r="BD70" s="207"/>
      <c r="BE70" s="40"/>
      <c r="BF70" s="40"/>
      <c r="BG70" s="40"/>
      <c r="BH70" s="40"/>
      <c r="BI70" s="40"/>
      <c r="BJ70" s="40"/>
      <c r="BK70" s="40"/>
    </row>
    <row r="71" spans="1:63" ht="15" customHeight="1" x14ac:dyDescent="0.15">
      <c r="A71" s="13"/>
      <c r="B71" s="208"/>
      <c r="C71" s="1452" t="s">
        <v>106</v>
      </c>
      <c r="D71" s="208"/>
      <c r="E71" s="208"/>
      <c r="F71" s="208"/>
      <c r="G71" s="209"/>
      <c r="H71" s="173" t="s">
        <v>80</v>
      </c>
      <c r="I71" s="1788"/>
      <c r="J71" s="1788"/>
      <c r="K71" s="1788"/>
      <c r="L71" s="1788"/>
      <c r="M71" s="1791"/>
      <c r="N71" s="156"/>
      <c r="O71" s="173" t="s">
        <v>80</v>
      </c>
      <c r="P71" s="1788"/>
      <c r="Q71" s="1788"/>
      <c r="R71" s="1788"/>
      <c r="S71" s="1788"/>
      <c r="T71" s="1803"/>
      <c r="U71" s="230"/>
      <c r="V71" s="173" t="s">
        <v>80</v>
      </c>
      <c r="W71" s="1788"/>
      <c r="X71" s="1788"/>
      <c r="Y71" s="1788"/>
      <c r="Z71" s="1788"/>
      <c r="AA71" s="1791"/>
      <c r="AB71" s="230"/>
      <c r="AC71" s="173" t="s">
        <v>80</v>
      </c>
      <c r="AD71" s="1788"/>
      <c r="AE71" s="1788"/>
      <c r="AF71" s="1788"/>
      <c r="AG71" s="1788"/>
      <c r="AH71" s="1803"/>
      <c r="AI71" s="230"/>
      <c r="AJ71" s="173" t="s">
        <v>80</v>
      </c>
      <c r="AK71" s="1788"/>
      <c r="AL71" s="1788"/>
      <c r="AM71" s="1788"/>
      <c r="AN71" s="1788"/>
      <c r="AO71" s="1806"/>
      <c r="AP71" s="211"/>
      <c r="AQ71" s="208"/>
      <c r="AR71" s="208"/>
      <c r="AS71" s="40"/>
      <c r="AT71" s="1453" t="s">
        <v>105</v>
      </c>
      <c r="AU71" s="208"/>
      <c r="AV71" s="40"/>
      <c r="AW71" s="40"/>
      <c r="AX71" s="212"/>
      <c r="AY71" s="212"/>
      <c r="AZ71" s="212"/>
      <c r="BA71" s="212"/>
      <c r="BB71" s="212"/>
      <c r="BC71" s="40"/>
      <c r="BD71" s="213"/>
      <c r="BE71" s="40"/>
      <c r="BF71" s="40"/>
      <c r="BG71" s="40"/>
      <c r="BH71" s="40"/>
      <c r="BI71" s="40"/>
      <c r="BJ71" s="40"/>
      <c r="BK71" s="40"/>
    </row>
    <row r="72" spans="1:63" ht="15" customHeight="1" x14ac:dyDescent="0.15">
      <c r="A72" s="13"/>
      <c r="B72" s="208"/>
      <c r="C72" s="204"/>
      <c r="D72" s="208"/>
      <c r="E72" s="208"/>
      <c r="F72" s="208"/>
      <c r="G72" s="209"/>
      <c r="H72" s="173" t="s">
        <v>85</v>
      </c>
      <c r="I72" s="1788"/>
      <c r="J72" s="1788"/>
      <c r="K72" s="1788"/>
      <c r="L72" s="1788"/>
      <c r="M72" s="1791"/>
      <c r="N72" s="156"/>
      <c r="O72" s="173" t="s">
        <v>85</v>
      </c>
      <c r="P72" s="1788"/>
      <c r="Q72" s="1788"/>
      <c r="R72" s="1788"/>
      <c r="S72" s="1788"/>
      <c r="T72" s="1803"/>
      <c r="U72" s="230"/>
      <c r="V72" s="173" t="s">
        <v>85</v>
      </c>
      <c r="W72" s="1788"/>
      <c r="X72" s="1788"/>
      <c r="Y72" s="1788"/>
      <c r="Z72" s="1788"/>
      <c r="AA72" s="1791"/>
      <c r="AB72" s="230"/>
      <c r="AC72" s="173" t="s">
        <v>85</v>
      </c>
      <c r="AD72" s="1788"/>
      <c r="AE72" s="1788"/>
      <c r="AF72" s="1788"/>
      <c r="AG72" s="1788"/>
      <c r="AH72" s="1803"/>
      <c r="AI72" s="230"/>
      <c r="AJ72" s="173" t="s">
        <v>85</v>
      </c>
      <c r="AK72" s="1788"/>
      <c r="AL72" s="1788"/>
      <c r="AM72" s="1788"/>
      <c r="AN72" s="1788"/>
      <c r="AO72" s="1806"/>
      <c r="AP72" s="211"/>
      <c r="AQ72" s="208"/>
      <c r="AR72" s="208"/>
      <c r="AS72" s="208"/>
      <c r="AT72" s="204"/>
      <c r="AU72" s="208"/>
      <c r="AV72" s="40"/>
      <c r="AW72" s="40"/>
      <c r="AX72" s="40"/>
      <c r="AY72" s="40"/>
      <c r="AZ72" s="40"/>
      <c r="BA72" s="40"/>
      <c r="BB72" s="40"/>
      <c r="BC72" s="40"/>
      <c r="BD72" s="213"/>
      <c r="BE72" s="40"/>
      <c r="BF72" s="40"/>
      <c r="BG72" s="40"/>
      <c r="BH72" s="40"/>
      <c r="BI72" s="40"/>
      <c r="BJ72" s="40"/>
      <c r="BK72" s="40"/>
    </row>
    <row r="73" spans="1:63" ht="15" customHeight="1" x14ac:dyDescent="0.15">
      <c r="A73" s="13"/>
      <c r="B73" s="208"/>
      <c r="C73" s="1453" t="s">
        <v>107</v>
      </c>
      <c r="D73" s="208"/>
      <c r="E73" s="208"/>
      <c r="F73" s="208"/>
      <c r="G73" s="209"/>
      <c r="H73" s="173" t="s">
        <v>90</v>
      </c>
      <c r="I73" s="1788"/>
      <c r="J73" s="1788"/>
      <c r="K73" s="1788"/>
      <c r="L73" s="1788"/>
      <c r="M73" s="1791"/>
      <c r="N73" s="156"/>
      <c r="O73" s="173" t="s">
        <v>90</v>
      </c>
      <c r="P73" s="1788"/>
      <c r="Q73" s="1788"/>
      <c r="R73" s="1788"/>
      <c r="S73" s="1788"/>
      <c r="T73" s="1803"/>
      <c r="U73" s="230"/>
      <c r="V73" s="173" t="s">
        <v>90</v>
      </c>
      <c r="W73" s="1788"/>
      <c r="X73" s="1788"/>
      <c r="Y73" s="1788"/>
      <c r="Z73" s="1788"/>
      <c r="AA73" s="1791"/>
      <c r="AB73" s="230"/>
      <c r="AC73" s="173" t="s">
        <v>90</v>
      </c>
      <c r="AD73" s="1788"/>
      <c r="AE73" s="1788"/>
      <c r="AF73" s="1788"/>
      <c r="AG73" s="1788"/>
      <c r="AH73" s="1803"/>
      <c r="AI73" s="230"/>
      <c r="AJ73" s="173" t="s">
        <v>90</v>
      </c>
      <c r="AK73" s="1788"/>
      <c r="AL73" s="1788"/>
      <c r="AM73" s="1788"/>
      <c r="AN73" s="1788"/>
      <c r="AO73" s="1806"/>
      <c r="AP73" s="211"/>
      <c r="AQ73" s="208"/>
      <c r="AR73" s="208"/>
      <c r="AS73" s="208"/>
      <c r="AT73" s="1452" t="s">
        <v>106</v>
      </c>
      <c r="AU73" s="208"/>
      <c r="AV73" s="40"/>
      <c r="AW73" s="40"/>
      <c r="AX73" s="40"/>
      <c r="AY73" s="40"/>
      <c r="AZ73" s="40"/>
      <c r="BA73" s="40"/>
      <c r="BB73" s="40"/>
      <c r="BC73" s="40"/>
      <c r="BD73" s="213"/>
      <c r="BE73" s="40"/>
      <c r="BF73" s="40"/>
      <c r="BG73" s="40"/>
      <c r="BH73" s="40"/>
      <c r="BI73" s="40"/>
      <c r="BJ73" s="40"/>
      <c r="BK73" s="40"/>
    </row>
    <row r="74" spans="1:63" ht="15" customHeight="1" x14ac:dyDescent="0.15">
      <c r="A74" s="13"/>
      <c r="B74" s="215"/>
      <c r="C74" s="208"/>
      <c r="D74" s="208"/>
      <c r="E74" s="208"/>
      <c r="F74" s="208"/>
      <c r="G74" s="209"/>
      <c r="H74" s="173" t="s">
        <v>95</v>
      </c>
      <c r="I74" s="1788"/>
      <c r="J74" s="1788"/>
      <c r="K74" s="1788"/>
      <c r="L74" s="1788"/>
      <c r="M74" s="1791"/>
      <c r="N74" s="156"/>
      <c r="O74" s="173" t="s">
        <v>95</v>
      </c>
      <c r="P74" s="1788"/>
      <c r="Q74" s="1788"/>
      <c r="R74" s="1788"/>
      <c r="S74" s="1788"/>
      <c r="T74" s="1803"/>
      <c r="U74" s="230"/>
      <c r="V74" s="173" t="s">
        <v>95</v>
      </c>
      <c r="W74" s="1788"/>
      <c r="X74" s="1788"/>
      <c r="Y74" s="1788"/>
      <c r="Z74" s="1788"/>
      <c r="AA74" s="1791"/>
      <c r="AB74" s="230"/>
      <c r="AC74" s="173" t="s">
        <v>95</v>
      </c>
      <c r="AD74" s="1788"/>
      <c r="AE74" s="1788"/>
      <c r="AF74" s="1788"/>
      <c r="AG74" s="1788"/>
      <c r="AH74" s="1803"/>
      <c r="AI74" s="230"/>
      <c r="AJ74" s="173" t="s">
        <v>95</v>
      </c>
      <c r="AK74" s="1788"/>
      <c r="AL74" s="1788"/>
      <c r="AM74" s="1788"/>
      <c r="AN74" s="1788"/>
      <c r="AO74" s="1806"/>
      <c r="AP74" s="211"/>
      <c r="AQ74" s="208"/>
      <c r="AR74" s="208"/>
      <c r="AS74" s="208"/>
      <c r="AT74" s="204"/>
      <c r="AU74" s="208"/>
      <c r="AV74" s="40"/>
      <c r="AW74" s="40"/>
      <c r="AX74" s="40"/>
      <c r="AY74" s="40"/>
      <c r="AZ74" s="40"/>
      <c r="BA74" s="40"/>
      <c r="BB74" s="40"/>
      <c r="BC74" s="40"/>
      <c r="BD74" s="213"/>
      <c r="BE74" s="40"/>
      <c r="BF74" s="40"/>
      <c r="BG74" s="40"/>
      <c r="BH74" s="40"/>
      <c r="BI74" s="40"/>
      <c r="BJ74" s="40"/>
      <c r="BK74" s="40"/>
    </row>
    <row r="75" spans="1:63" ht="15" customHeight="1" x14ac:dyDescent="0.15">
      <c r="A75" s="13"/>
      <c r="B75" s="40"/>
      <c r="C75" s="1452" t="s">
        <v>113</v>
      </c>
      <c r="D75" s="215"/>
      <c r="E75" s="215"/>
      <c r="F75" s="215"/>
      <c r="G75" s="209"/>
      <c r="H75" s="1460" t="s">
        <v>100</v>
      </c>
      <c r="I75" s="1789"/>
      <c r="J75" s="1789"/>
      <c r="K75" s="1789"/>
      <c r="L75" s="1789"/>
      <c r="M75" s="1798"/>
      <c r="N75" s="156"/>
      <c r="O75" s="183" t="s">
        <v>100</v>
      </c>
      <c r="P75" s="1789"/>
      <c r="Q75" s="1789"/>
      <c r="R75" s="1789"/>
      <c r="S75" s="1792"/>
      <c r="T75" s="1793"/>
      <c r="U75" s="231"/>
      <c r="V75" s="183" t="s">
        <v>100</v>
      </c>
      <c r="W75" s="1789"/>
      <c r="X75" s="1789"/>
      <c r="Y75" s="1789"/>
      <c r="Z75" s="1789"/>
      <c r="AA75" s="1793"/>
      <c r="AB75" s="231"/>
      <c r="AC75" s="183" t="s">
        <v>100</v>
      </c>
      <c r="AD75" s="1792"/>
      <c r="AE75" s="1792"/>
      <c r="AF75" s="1792"/>
      <c r="AG75" s="1789"/>
      <c r="AH75" s="1793"/>
      <c r="AI75" s="231"/>
      <c r="AJ75" s="1460" t="s">
        <v>100</v>
      </c>
      <c r="AK75" s="1789"/>
      <c r="AL75" s="1789"/>
      <c r="AM75" s="1789"/>
      <c r="AN75" s="1789"/>
      <c r="AO75" s="1798"/>
      <c r="AP75" s="216"/>
      <c r="AQ75" s="215"/>
      <c r="AR75" s="215"/>
      <c r="AS75" s="215"/>
      <c r="AT75" s="1453" t="s">
        <v>107</v>
      </c>
      <c r="AU75" s="215"/>
      <c r="AV75" s="40"/>
      <c r="AW75" s="40"/>
      <c r="AX75" s="186"/>
      <c r="AY75" s="186"/>
      <c r="AZ75" s="186"/>
      <c r="BA75" s="186"/>
      <c r="BB75" s="186"/>
      <c r="BC75" s="40"/>
      <c r="BD75" s="217"/>
      <c r="BE75" s="40"/>
      <c r="BF75" s="40"/>
      <c r="BG75" s="40"/>
      <c r="BH75" s="40"/>
      <c r="BI75" s="40"/>
      <c r="BJ75" s="40"/>
      <c r="BK75" s="40"/>
    </row>
    <row r="76" spans="1:63" ht="24.75" customHeight="1" x14ac:dyDescent="0.25">
      <c r="A76" s="13"/>
      <c r="B76" s="204"/>
      <c r="C76" s="208"/>
      <c r="D76" s="40"/>
      <c r="E76" s="40"/>
      <c r="F76" s="40"/>
      <c r="G76" s="1456"/>
      <c r="H76" s="1994" t="s">
        <v>135</v>
      </c>
      <c r="I76" s="1455" t="s">
        <v>63</v>
      </c>
      <c r="J76" s="1453" t="s">
        <v>105</v>
      </c>
      <c r="K76" s="1453" t="s">
        <v>105</v>
      </c>
      <c r="L76" s="1452" t="s">
        <v>69</v>
      </c>
      <c r="M76" s="1461" t="s">
        <v>185</v>
      </c>
      <c r="N76" s="1457"/>
      <c r="O76" s="1995" t="s">
        <v>136</v>
      </c>
      <c r="P76" s="1453" t="s">
        <v>72</v>
      </c>
      <c r="Q76" s="1453" t="s">
        <v>72</v>
      </c>
      <c r="R76" s="1455" t="s">
        <v>63</v>
      </c>
      <c r="S76" s="1453" t="s">
        <v>72</v>
      </c>
      <c r="T76" s="192"/>
      <c r="U76" s="233"/>
      <c r="V76" s="2003" t="s">
        <v>402</v>
      </c>
      <c r="W76" s="1453" t="s">
        <v>107</v>
      </c>
      <c r="X76" s="1452" t="s">
        <v>106</v>
      </c>
      <c r="Y76" s="1452" t="s">
        <v>106</v>
      </c>
      <c r="Z76" s="1455" t="s">
        <v>63</v>
      </c>
      <c r="AA76" s="255"/>
      <c r="AB76" s="174"/>
      <c r="AC76" s="2004" t="s">
        <v>137</v>
      </c>
      <c r="AD76" s="1455" t="s">
        <v>63</v>
      </c>
      <c r="AE76" s="1455" t="s">
        <v>63</v>
      </c>
      <c r="AF76" s="1455" t="s">
        <v>63</v>
      </c>
      <c r="AG76" s="1455" t="s">
        <v>63</v>
      </c>
      <c r="AH76" s="193"/>
      <c r="AI76" s="222"/>
      <c r="AJ76" s="2005" t="s">
        <v>138</v>
      </c>
      <c r="AK76" s="1455" t="s">
        <v>63</v>
      </c>
      <c r="AL76" s="1455" t="s">
        <v>63</v>
      </c>
      <c r="AM76" s="1455" t="s">
        <v>63</v>
      </c>
      <c r="AN76" s="1455" t="s">
        <v>63</v>
      </c>
      <c r="AO76" s="1464"/>
      <c r="AP76" s="40"/>
      <c r="AQ76" s="40"/>
      <c r="AR76" s="14"/>
      <c r="AS76" s="40"/>
      <c r="AT76" s="208"/>
      <c r="AU76" s="40"/>
      <c r="AV76" s="40"/>
      <c r="AW76" s="40"/>
      <c r="AX76" s="197"/>
      <c r="AY76" s="197"/>
      <c r="AZ76" s="197"/>
      <c r="BA76" s="197"/>
      <c r="BB76" s="197"/>
      <c r="BC76" s="40"/>
      <c r="BD76" s="122"/>
      <c r="BE76" s="40"/>
      <c r="BF76" s="40"/>
      <c r="BG76" s="40"/>
      <c r="BH76" s="40"/>
      <c r="BI76" s="40"/>
      <c r="BJ76" s="40"/>
      <c r="BK76" s="40"/>
    </row>
    <row r="77" spans="1:63" ht="15" customHeight="1" x14ac:dyDescent="0.2">
      <c r="A77" s="13"/>
      <c r="B77" s="204"/>
      <c r="C77" s="1453" t="s">
        <v>72</v>
      </c>
      <c r="D77" s="204"/>
      <c r="E77" s="204"/>
      <c r="F77" s="204"/>
      <c r="G77" s="204"/>
      <c r="H77" s="1442" t="s">
        <v>73</v>
      </c>
      <c r="I77" s="153">
        <f>Aspects!L12</f>
        <v>136.29300000000001</v>
      </c>
      <c r="J77" s="153">
        <f>Aspects!L11</f>
        <v>111.77184373983</v>
      </c>
      <c r="K77" s="153">
        <f>Aspects!L10</f>
        <v>112.033323379704</v>
      </c>
      <c r="L77" s="153">
        <f>Aspects!L9</f>
        <v>191.223035902926</v>
      </c>
      <c r="M77" s="1443"/>
      <c r="N77" s="209"/>
      <c r="O77" s="152" t="s">
        <v>73</v>
      </c>
      <c r="P77" s="153">
        <f>Aspects!L37</f>
        <v>31.195999999999998</v>
      </c>
      <c r="Q77" s="153">
        <f>Aspects!L36</f>
        <v>28.427796620917007</v>
      </c>
      <c r="R77" s="153">
        <f>Aspects!L35</f>
        <v>25.814449720097002</v>
      </c>
      <c r="S77" s="153">
        <f>Aspects!L34</f>
        <v>28.857362393007008</v>
      </c>
      <c r="T77" s="154"/>
      <c r="U77" s="200"/>
      <c r="V77" s="152" t="s">
        <v>73</v>
      </c>
      <c r="W77" s="153">
        <f>Aspects!J22</f>
        <v>61.33</v>
      </c>
      <c r="X77" s="153">
        <f>Aspects!J21</f>
        <v>85.281611049304018</v>
      </c>
      <c r="Y77" s="153">
        <f>Aspects!J20</f>
        <v>82.259257972044992</v>
      </c>
      <c r="Z77" s="153">
        <f>Aspects!J19</f>
        <v>109.15047173582101</v>
      </c>
      <c r="AA77" s="175"/>
      <c r="AB77" s="156"/>
      <c r="AC77" s="152" t="s">
        <v>73</v>
      </c>
      <c r="AD77" s="153">
        <f>Aspects!K42</f>
        <v>34.210999999999999</v>
      </c>
      <c r="AE77" s="153">
        <f>Aspects!K41</f>
        <v>36.317613756003993</v>
      </c>
      <c r="AF77" s="153">
        <f>Aspects!K40</f>
        <v>34.947916014370946</v>
      </c>
      <c r="AG77" s="153">
        <f>Aspects!K39</f>
        <v>38.972818790064991</v>
      </c>
      <c r="AH77" s="154"/>
      <c r="AI77" s="205"/>
      <c r="AJ77" s="1442" t="s">
        <v>73</v>
      </c>
      <c r="AK77" s="153">
        <f>Aspects!J42</f>
        <v>34.887</v>
      </c>
      <c r="AL77" s="153">
        <f>Aspects!J41</f>
        <v>36.006449101865996</v>
      </c>
      <c r="AM77" s="153">
        <f>Aspects!J40</f>
        <v>34.809697151181979</v>
      </c>
      <c r="AN77" s="153">
        <f>Aspects!J39</f>
        <v>37.915258474756968</v>
      </c>
      <c r="AO77" s="1465"/>
      <c r="AP77" s="40"/>
      <c r="AQ77" s="40"/>
      <c r="AR77" s="14"/>
      <c r="AS77" s="40"/>
      <c r="AT77" s="1452" t="s">
        <v>113</v>
      </c>
      <c r="AU77" s="204"/>
      <c r="AV77" s="40"/>
      <c r="AW77" s="40"/>
      <c r="AX77" s="202"/>
      <c r="AY77" s="202"/>
      <c r="AZ77" s="202"/>
      <c r="BA77" s="202"/>
      <c r="BB77" s="202"/>
      <c r="BC77" s="40"/>
      <c r="BD77" s="203"/>
      <c r="BE77" s="40"/>
      <c r="BF77" s="40"/>
      <c r="BG77" s="40"/>
      <c r="BH77" s="40"/>
      <c r="BI77" s="40"/>
      <c r="BJ77" s="40"/>
      <c r="BK77" s="40"/>
    </row>
    <row r="78" spans="1:63" ht="15" customHeight="1" x14ac:dyDescent="0.2">
      <c r="A78" s="13"/>
      <c r="B78" s="204"/>
      <c r="C78" s="204"/>
      <c r="D78" s="204"/>
      <c r="E78" s="204"/>
      <c r="F78" s="204"/>
      <c r="G78" s="204"/>
      <c r="H78" s="1444" t="s">
        <v>75</v>
      </c>
      <c r="I78" s="161"/>
      <c r="J78" s="161">
        <f>120-J77</f>
        <v>8.228156260169996</v>
      </c>
      <c r="K78" s="161">
        <f>120-K77</f>
        <v>7.9666766202959991</v>
      </c>
      <c r="L78" s="161">
        <f>L77-180</f>
        <v>11.223035902926</v>
      </c>
      <c r="M78" s="1445"/>
      <c r="N78" s="209"/>
      <c r="O78" s="160" t="s">
        <v>75</v>
      </c>
      <c r="P78" s="161">
        <f>P77-30</f>
        <v>1.195999999999998</v>
      </c>
      <c r="Q78" s="161">
        <f>30-Q77</f>
        <v>1.5722033790829926</v>
      </c>
      <c r="R78" s="161"/>
      <c r="S78" s="161">
        <f>30-S77</f>
        <v>1.1426376069929916</v>
      </c>
      <c r="T78" s="162"/>
      <c r="U78" s="200"/>
      <c r="V78" s="160" t="s">
        <v>75</v>
      </c>
      <c r="W78" s="161">
        <f>W77-60</f>
        <v>1.3299999999999983</v>
      </c>
      <c r="X78" s="161">
        <f>90-X77</f>
        <v>4.7183889506959815</v>
      </c>
      <c r="Y78" s="161">
        <f>90-Y77</f>
        <v>7.7407420279550081</v>
      </c>
      <c r="Z78" s="161"/>
      <c r="AA78" s="242"/>
      <c r="AB78" s="156"/>
      <c r="AC78" s="160" t="s">
        <v>75</v>
      </c>
      <c r="AD78" s="161"/>
      <c r="AE78" s="161"/>
      <c r="AF78" s="161"/>
      <c r="AG78" s="161"/>
      <c r="AH78" s="162"/>
      <c r="AI78" s="205"/>
      <c r="AJ78" s="1444" t="s">
        <v>75</v>
      </c>
      <c r="AK78" s="161"/>
      <c r="AL78" s="161"/>
      <c r="AM78" s="161"/>
      <c r="AN78" s="161"/>
      <c r="AO78" s="1466"/>
      <c r="AP78" s="40"/>
      <c r="AQ78" s="40"/>
      <c r="AR78" s="14"/>
      <c r="AS78" s="40"/>
      <c r="AT78" s="208"/>
      <c r="AU78" s="204"/>
      <c r="AV78" s="40"/>
      <c r="AW78" s="40"/>
      <c r="AX78" s="202"/>
      <c r="AY78" s="202"/>
      <c r="AZ78" s="202"/>
      <c r="BA78" s="202"/>
      <c r="BB78" s="202"/>
      <c r="BC78" s="40"/>
      <c r="BD78" s="203"/>
      <c r="BE78" s="40"/>
      <c r="BF78" s="40"/>
      <c r="BG78" s="40"/>
      <c r="BH78" s="40"/>
      <c r="BI78" s="40"/>
      <c r="BJ78" s="40"/>
      <c r="BK78" s="40"/>
    </row>
    <row r="79" spans="1:63" ht="15" customHeight="1" x14ac:dyDescent="0.15">
      <c r="A79" s="13"/>
      <c r="B79" s="256"/>
      <c r="C79" s="204"/>
      <c r="D79" s="204"/>
      <c r="E79" s="204"/>
      <c r="F79" s="204"/>
      <c r="G79" s="204"/>
      <c r="H79" s="1446" t="s">
        <v>76</v>
      </c>
      <c r="I79" s="166"/>
      <c r="J79" s="166"/>
      <c r="K79" s="166"/>
      <c r="L79" s="166"/>
      <c r="M79" s="1447"/>
      <c r="N79" s="1458"/>
      <c r="O79" s="165" t="s">
        <v>76</v>
      </c>
      <c r="P79" s="166"/>
      <c r="Q79" s="166"/>
      <c r="R79" s="166"/>
      <c r="S79" s="166"/>
      <c r="T79" s="167"/>
      <c r="U79" s="169"/>
      <c r="V79" s="165" t="s">
        <v>76</v>
      </c>
      <c r="W79" s="166"/>
      <c r="X79" s="166"/>
      <c r="Y79" s="166"/>
      <c r="Z79" s="166"/>
      <c r="AA79" s="167"/>
      <c r="AB79" s="169"/>
      <c r="AC79" s="165" t="s">
        <v>76</v>
      </c>
      <c r="AD79" s="166"/>
      <c r="AE79" s="166"/>
      <c r="AF79" s="166"/>
      <c r="AG79" s="166"/>
      <c r="AH79" s="167"/>
      <c r="AI79" s="1462"/>
      <c r="AJ79" s="1446" t="s">
        <v>76</v>
      </c>
      <c r="AK79" s="166"/>
      <c r="AL79" s="166"/>
      <c r="AM79" s="166"/>
      <c r="AN79" s="166"/>
      <c r="AO79" s="1467"/>
      <c r="AP79" s="204"/>
      <c r="AQ79" s="204"/>
      <c r="AR79" s="14"/>
      <c r="AS79" s="204"/>
      <c r="AT79" s="1453" t="s">
        <v>72</v>
      </c>
      <c r="AU79" s="204"/>
      <c r="AV79" s="40"/>
      <c r="AW79" s="40"/>
      <c r="AX79" s="40"/>
      <c r="AY79" s="40"/>
      <c r="AZ79" s="40"/>
      <c r="BA79" s="40"/>
      <c r="BB79" s="40"/>
      <c r="BC79" s="40"/>
      <c r="BD79" s="203"/>
      <c r="BE79" s="40"/>
      <c r="BF79" s="40"/>
      <c r="BG79" s="40"/>
      <c r="BH79" s="40"/>
      <c r="BI79" s="40"/>
      <c r="BJ79" s="40"/>
      <c r="BK79" s="40"/>
    </row>
    <row r="80" spans="1:63" ht="15" customHeight="1" x14ac:dyDescent="0.2">
      <c r="A80" s="13"/>
      <c r="B80" s="256"/>
      <c r="C80" s="256"/>
      <c r="D80" s="256"/>
      <c r="E80" s="256"/>
      <c r="F80" s="256"/>
      <c r="G80" s="204"/>
      <c r="H80" s="1448" t="s">
        <v>80</v>
      </c>
      <c r="I80" s="1799"/>
      <c r="J80" s="1799"/>
      <c r="K80" s="1799"/>
      <c r="L80" s="1799"/>
      <c r="M80" s="1449"/>
      <c r="N80" s="209"/>
      <c r="O80" s="173" t="s">
        <v>80</v>
      </c>
      <c r="P80" s="1799"/>
      <c r="Q80" s="1799"/>
      <c r="R80" s="1799"/>
      <c r="S80" s="1799"/>
      <c r="T80" s="1806"/>
      <c r="U80" s="257"/>
      <c r="V80" s="173" t="s">
        <v>80</v>
      </c>
      <c r="W80" s="1799"/>
      <c r="X80" s="1799"/>
      <c r="Y80" s="1799"/>
      <c r="Z80" s="1799"/>
      <c r="AA80" s="1806"/>
      <c r="AB80" s="156"/>
      <c r="AC80" s="173" t="s">
        <v>80</v>
      </c>
      <c r="AD80" s="1799"/>
      <c r="AE80" s="1799"/>
      <c r="AF80" s="1799"/>
      <c r="AG80" s="1799"/>
      <c r="AH80" s="1804"/>
      <c r="AI80" s="205"/>
      <c r="AJ80" s="1448" t="s">
        <v>80</v>
      </c>
      <c r="AK80" s="1799"/>
      <c r="AL80" s="1799"/>
      <c r="AM80" s="1799"/>
      <c r="AN80" s="1799"/>
      <c r="AO80" s="1810"/>
      <c r="AP80" s="208"/>
      <c r="AQ80" s="208"/>
      <c r="AR80" s="14"/>
      <c r="AS80" s="208"/>
      <c r="AT80" s="208"/>
      <c r="AU80" s="256"/>
      <c r="AV80" s="40"/>
      <c r="AW80" s="40"/>
      <c r="AX80" s="206"/>
      <c r="AY80" s="206"/>
      <c r="AZ80" s="206"/>
      <c r="BA80" s="206"/>
      <c r="BB80" s="206"/>
      <c r="BC80" s="40"/>
      <c r="BD80" s="258"/>
      <c r="BE80" s="40"/>
      <c r="BF80" s="40"/>
      <c r="BG80" s="40"/>
      <c r="BH80" s="40"/>
      <c r="BI80" s="40"/>
      <c r="BJ80" s="40"/>
      <c r="BK80" s="40"/>
    </row>
    <row r="81" spans="1:63" ht="15" customHeight="1" x14ac:dyDescent="0.2">
      <c r="A81" s="13"/>
      <c r="B81" s="256"/>
      <c r="C81" s="256"/>
      <c r="D81" s="256"/>
      <c r="E81" s="256"/>
      <c r="F81" s="256"/>
      <c r="G81" s="204"/>
      <c r="H81" s="1448" t="s">
        <v>85</v>
      </c>
      <c r="I81" s="1799"/>
      <c r="J81" s="1799"/>
      <c r="K81" s="1799"/>
      <c r="L81" s="1799"/>
      <c r="M81" s="1449"/>
      <c r="N81" s="209"/>
      <c r="O81" s="173" t="s">
        <v>85</v>
      </c>
      <c r="P81" s="1799"/>
      <c r="Q81" s="1799"/>
      <c r="R81" s="1799"/>
      <c r="S81" s="1799"/>
      <c r="T81" s="1806"/>
      <c r="U81" s="257"/>
      <c r="V81" s="173" t="s">
        <v>85</v>
      </c>
      <c r="W81" s="1799"/>
      <c r="X81" s="1799"/>
      <c r="Y81" s="1799"/>
      <c r="Z81" s="1799"/>
      <c r="AA81" s="1806"/>
      <c r="AB81" s="156"/>
      <c r="AC81" s="173" t="s">
        <v>85</v>
      </c>
      <c r="AD81" s="1799"/>
      <c r="AE81" s="1799"/>
      <c r="AF81" s="1799"/>
      <c r="AG81" s="1799"/>
      <c r="AH81" s="1804"/>
      <c r="AI81" s="205"/>
      <c r="AJ81" s="1448" t="s">
        <v>85</v>
      </c>
      <c r="AK81" s="1799"/>
      <c r="AL81" s="1799"/>
      <c r="AM81" s="1799"/>
      <c r="AN81" s="1799"/>
      <c r="AO81" s="1810"/>
      <c r="AP81" s="208"/>
      <c r="AQ81" s="208"/>
      <c r="AR81" s="14"/>
      <c r="AS81" s="208"/>
      <c r="AT81" s="208"/>
      <c r="AU81" s="256"/>
      <c r="AV81" s="40"/>
      <c r="AW81" s="40" t="s">
        <v>351</v>
      </c>
      <c r="AX81" s="40"/>
      <c r="AY81" s="40"/>
      <c r="AZ81" s="40"/>
      <c r="BA81" s="40"/>
      <c r="BB81" s="40"/>
      <c r="BC81" s="40"/>
      <c r="BD81" s="258"/>
      <c r="BE81" s="40"/>
      <c r="BF81" s="40"/>
      <c r="BG81" s="40"/>
      <c r="BH81" s="40"/>
      <c r="BI81" s="40"/>
      <c r="BJ81" s="40"/>
      <c r="BK81" s="40"/>
    </row>
    <row r="82" spans="1:63" ht="15" customHeight="1" x14ac:dyDescent="0.2">
      <c r="A82" s="13"/>
      <c r="B82" s="256"/>
      <c r="C82" s="256"/>
      <c r="D82" s="256"/>
      <c r="E82" s="256"/>
      <c r="F82" s="256"/>
      <c r="G82" s="204"/>
      <c r="H82" s="1448" t="s">
        <v>90</v>
      </c>
      <c r="I82" s="1799"/>
      <c r="J82" s="1799"/>
      <c r="K82" s="1799"/>
      <c r="L82" s="1799"/>
      <c r="M82" s="1449"/>
      <c r="N82" s="209"/>
      <c r="O82" s="173" t="s">
        <v>90</v>
      </c>
      <c r="P82" s="1799"/>
      <c r="Q82" s="1799"/>
      <c r="R82" s="1799"/>
      <c r="S82" s="1799"/>
      <c r="T82" s="1806"/>
      <c r="U82" s="257"/>
      <c r="V82" s="173" t="s">
        <v>90</v>
      </c>
      <c r="W82" s="1799"/>
      <c r="X82" s="1799"/>
      <c r="Y82" s="1799"/>
      <c r="Z82" s="1799"/>
      <c r="AA82" s="1806"/>
      <c r="AB82" s="156"/>
      <c r="AC82" s="173" t="s">
        <v>90</v>
      </c>
      <c r="AD82" s="1799"/>
      <c r="AE82" s="1799"/>
      <c r="AF82" s="1799"/>
      <c r="AG82" s="1799"/>
      <c r="AH82" s="1804"/>
      <c r="AI82" s="205"/>
      <c r="AJ82" s="1448" t="s">
        <v>90</v>
      </c>
      <c r="AK82" s="1799"/>
      <c r="AL82" s="1799"/>
      <c r="AM82" s="1799"/>
      <c r="AN82" s="1799"/>
      <c r="AO82" s="1810"/>
      <c r="AP82" s="208"/>
      <c r="AQ82" s="208"/>
      <c r="AR82" s="14"/>
      <c r="AS82" s="208"/>
      <c r="AT82" s="208"/>
      <c r="AU82" s="256"/>
      <c r="AV82" s="40"/>
      <c r="AW82" s="40"/>
      <c r="AX82" s="40"/>
      <c r="AY82" s="40"/>
      <c r="AZ82" s="40"/>
      <c r="BA82" s="40"/>
      <c r="BB82" s="40"/>
      <c r="BC82" s="40"/>
      <c r="BD82" s="258"/>
      <c r="BE82" s="40"/>
      <c r="BF82" s="40"/>
      <c r="BG82" s="40"/>
      <c r="BH82" s="40"/>
      <c r="BI82" s="40"/>
      <c r="BJ82" s="40"/>
      <c r="BK82" s="40"/>
    </row>
    <row r="83" spans="1:63" ht="15" customHeight="1" x14ac:dyDescent="0.2">
      <c r="A83" s="13"/>
      <c r="B83" s="215"/>
      <c r="C83" s="256"/>
      <c r="D83" s="256"/>
      <c r="E83" s="256"/>
      <c r="F83" s="256"/>
      <c r="G83" s="204"/>
      <c r="H83" s="1448" t="s">
        <v>95</v>
      </c>
      <c r="I83" s="1799"/>
      <c r="J83" s="1799"/>
      <c r="K83" s="1799"/>
      <c r="L83" s="1799"/>
      <c r="M83" s="1449"/>
      <c r="N83" s="209"/>
      <c r="O83" s="173" t="s">
        <v>95</v>
      </c>
      <c r="P83" s="1799"/>
      <c r="Q83" s="1799"/>
      <c r="R83" s="1799"/>
      <c r="S83" s="1799"/>
      <c r="T83" s="1806"/>
      <c r="U83" s="257"/>
      <c r="V83" s="173" t="s">
        <v>95</v>
      </c>
      <c r="W83" s="1799"/>
      <c r="X83" s="1799"/>
      <c r="Y83" s="1799"/>
      <c r="Z83" s="1799"/>
      <c r="AA83" s="1806"/>
      <c r="AB83" s="156"/>
      <c r="AC83" s="173" t="s">
        <v>95</v>
      </c>
      <c r="AD83" s="1799"/>
      <c r="AE83" s="1799"/>
      <c r="AF83" s="1799"/>
      <c r="AG83" s="1799"/>
      <c r="AH83" s="1804"/>
      <c r="AI83" s="205"/>
      <c r="AJ83" s="1448" t="s">
        <v>95</v>
      </c>
      <c r="AK83" s="1799"/>
      <c r="AL83" s="1799"/>
      <c r="AM83" s="1799"/>
      <c r="AN83" s="1799"/>
      <c r="AO83" s="1810"/>
      <c r="AP83" s="208"/>
      <c r="AQ83" s="208"/>
      <c r="AR83" s="14"/>
      <c r="AS83" s="208"/>
      <c r="AT83" s="256"/>
      <c r="AU83" s="40"/>
      <c r="AV83" s="40"/>
      <c r="AW83" s="40"/>
      <c r="AX83" s="40"/>
      <c r="AY83" s="40"/>
      <c r="AZ83" s="40"/>
      <c r="BA83" s="40"/>
      <c r="BB83" s="40"/>
      <c r="BC83" s="258"/>
      <c r="BD83" s="40"/>
      <c r="BE83" s="40"/>
      <c r="BF83" s="40"/>
      <c r="BG83" s="40"/>
      <c r="BH83" s="40"/>
      <c r="BI83" s="40"/>
      <c r="BJ83" s="40"/>
      <c r="BK83" s="14"/>
    </row>
    <row r="84" spans="1:63" ht="15" customHeight="1" x14ac:dyDescent="0.15">
      <c r="A84" s="14"/>
      <c r="B84" s="1194"/>
      <c r="C84" s="215"/>
      <c r="D84" s="215"/>
      <c r="E84" s="215"/>
      <c r="F84" s="215"/>
      <c r="G84" s="204"/>
      <c r="H84" s="1450" t="s">
        <v>100</v>
      </c>
      <c r="I84" s="1789"/>
      <c r="J84" s="1789"/>
      <c r="K84" s="1789"/>
      <c r="L84" s="1789"/>
      <c r="M84" s="1790"/>
      <c r="N84" s="1459"/>
      <c r="O84" s="183" t="s">
        <v>100</v>
      </c>
      <c r="P84" s="1789"/>
      <c r="Q84" s="1789"/>
      <c r="R84" s="1789"/>
      <c r="S84" s="1789"/>
      <c r="T84" s="1793"/>
      <c r="U84" s="259"/>
      <c r="V84" s="183" t="s">
        <v>100</v>
      </c>
      <c r="W84" s="1789">
        <f>((10.4*(100/100))+(10.4*(120/110))+(10.4*(100/100))+(10.4*(100/100)))/4</f>
        <v>10.636363636363637</v>
      </c>
      <c r="X84" s="1789">
        <f>((9*(120/100))+(9*(120/110))+(9*(100/100))+(9*(120/100)))/4</f>
        <v>10.104545454545454</v>
      </c>
      <c r="Y84" s="1789">
        <f>((9.6*(100/100))+(9.6*(110/110))+(9.6*(100/100))+(9.6*(140/100)))/4</f>
        <v>10.559999999999999</v>
      </c>
      <c r="Z84" s="1789"/>
      <c r="AA84" s="1793">
        <f>((Y84+X84+W84)/3)+8</f>
        <v>18.433636363636364</v>
      </c>
      <c r="AB84" s="259"/>
      <c r="AC84" s="183" t="s">
        <v>100</v>
      </c>
      <c r="AD84" s="1802"/>
      <c r="AE84" s="1789"/>
      <c r="AF84" s="1789"/>
      <c r="AG84" s="1789"/>
      <c r="AH84" s="1793"/>
      <c r="AI84" s="1463"/>
      <c r="AJ84" s="1450" t="s">
        <v>100</v>
      </c>
      <c r="AK84" s="1789"/>
      <c r="AL84" s="1789"/>
      <c r="AM84" s="1811"/>
      <c r="AN84" s="1789"/>
      <c r="AO84" s="1790"/>
      <c r="AP84" s="215"/>
      <c r="AQ84" s="215"/>
      <c r="AR84" s="1194"/>
      <c r="AS84" s="215"/>
      <c r="AT84" s="215"/>
      <c r="AU84" s="215"/>
      <c r="AV84" s="215"/>
      <c r="AW84" s="40"/>
      <c r="AX84" s="1454"/>
      <c r="AY84" s="1454"/>
      <c r="AZ84" s="1454"/>
      <c r="BA84" s="1454"/>
      <c r="BB84" s="1454"/>
      <c r="BC84" s="40"/>
      <c r="BD84" s="217"/>
      <c r="BE84" s="40"/>
      <c r="BF84" s="40"/>
      <c r="BG84" s="40"/>
      <c r="BH84" s="40"/>
      <c r="BI84" s="40"/>
      <c r="BJ84" s="40"/>
      <c r="BK84" s="40"/>
    </row>
    <row r="88" spans="1:63" ht="16" customHeight="1" x14ac:dyDescent="0.15">
      <c r="K88" s="112" t="s">
        <v>351</v>
      </c>
    </row>
  </sheetData>
  <mergeCells count="6">
    <mergeCell ref="AX3:BB3"/>
    <mergeCell ref="AJ2:AO2"/>
    <mergeCell ref="V2:AA2"/>
    <mergeCell ref="O2:T2"/>
    <mergeCell ref="H2:M2"/>
    <mergeCell ref="AC2:AH2"/>
  </mergeCells>
  <pageMargins left="0.74791700000000005" right="0.74791700000000005" top="0.98402800000000001" bottom="0.98402800000000001" header="0.51180599999999998" footer="0.51180599999999998"/>
  <pageSetup orientation="landscape"/>
  <headerFooter>
    <oddFooter>&amp;C&amp;"Helvetica Neue,Regular"&amp;12&amp;K000000&amp;P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107"/>
  <sheetViews>
    <sheetView showGridLines="0" topLeftCell="E1" zoomScale="140" zoomScaleNormal="140" workbookViewId="0">
      <selection activeCell="K17" sqref="K17:O26"/>
    </sheetView>
  </sheetViews>
  <sheetFormatPr baseColWidth="10" defaultColWidth="8.83203125" defaultRowHeight="16" customHeight="1" x14ac:dyDescent="0.15"/>
  <cols>
    <col min="1" max="1" width="11" style="749" customWidth="1"/>
    <col min="2" max="2" width="4.5" style="749" customWidth="1"/>
    <col min="3" max="3" width="9.5" style="749" customWidth="1"/>
    <col min="4" max="4" width="4.33203125" style="749" customWidth="1"/>
    <col min="5" max="7" width="3.83203125" style="749" customWidth="1"/>
    <col min="8" max="8" width="6.83203125" style="749" customWidth="1"/>
    <col min="9" max="9" width="6.83203125" style="1311" customWidth="1"/>
    <col min="10" max="10" width="4.6640625" style="749" customWidth="1"/>
    <col min="11" max="11" width="5.83203125" style="749" customWidth="1"/>
    <col min="12" max="12" width="7" style="749" customWidth="1"/>
    <col min="13" max="15" width="5.1640625" style="749" customWidth="1"/>
    <col min="16" max="17" width="7.33203125" style="1311" customWidth="1"/>
    <col min="18" max="18" width="3.5" style="749" customWidth="1"/>
    <col min="19" max="20" width="3.1640625" style="749" customWidth="1"/>
    <col min="21" max="21" width="4.5" style="749" customWidth="1"/>
    <col min="22" max="22" width="1.33203125" style="749" customWidth="1"/>
    <col min="23" max="23" width="4.1640625" style="749" customWidth="1"/>
    <col min="24" max="24" width="3.6640625" style="749" customWidth="1"/>
    <col min="25" max="25" width="3.5" style="749" customWidth="1"/>
    <col min="26" max="26" width="3" style="749" customWidth="1"/>
    <col min="27" max="27" width="3.5" style="749" customWidth="1"/>
    <col min="28" max="28" width="2.1640625" style="749" customWidth="1"/>
    <col min="29" max="29" width="5.1640625" style="749" customWidth="1"/>
    <col min="30" max="30" width="8.83203125" style="749" customWidth="1"/>
    <col min="31" max="31" width="3.6640625" style="749" customWidth="1"/>
    <col min="32" max="32" width="3.83203125" style="749" customWidth="1"/>
    <col min="33" max="33" width="3.1640625" style="749" customWidth="1"/>
    <col min="34" max="34" width="3" style="1311" customWidth="1"/>
    <col min="35" max="35" width="4.5" style="749" customWidth="1"/>
    <col min="36" max="36" width="1.5" style="749" customWidth="1"/>
    <col min="37" max="37" width="4.5" style="749" customWidth="1"/>
    <col min="38" max="38" width="3.6640625" style="749" customWidth="1"/>
    <col min="39" max="39" width="3.83203125" style="1311" customWidth="1"/>
    <col min="40" max="40" width="2.83203125" style="1311" customWidth="1"/>
    <col min="41" max="41" width="3.83203125" style="1311" customWidth="1"/>
    <col min="42" max="42" width="2.6640625" style="1311" customWidth="1"/>
    <col min="43" max="44" width="5.83203125" style="1847" customWidth="1"/>
    <col min="45" max="46" width="3.1640625" style="749" customWidth="1"/>
    <col min="47" max="47" width="2.6640625" style="749" customWidth="1"/>
    <col min="48" max="48" width="2.1640625" style="749" customWidth="1"/>
    <col min="49" max="49" width="5" style="749" customWidth="1"/>
    <col min="50" max="50" width="1.5" style="1852" customWidth="1"/>
    <col min="51" max="51" width="3.6640625" style="749" customWidth="1"/>
    <col min="52" max="52" width="3.33203125" style="749" customWidth="1"/>
    <col min="53" max="53" width="3.1640625" style="1311" customWidth="1"/>
    <col min="54" max="54" width="2.6640625" style="1311" customWidth="1"/>
    <col min="55" max="55" width="2.1640625" style="1600" customWidth="1"/>
    <col min="56" max="56" width="3.1640625" style="1311" customWidth="1"/>
    <col min="57" max="57" width="2.6640625" style="749" customWidth="1"/>
    <col min="58" max="58" width="2.1640625" style="1600" customWidth="1"/>
    <col min="59" max="59" width="5.5" style="1311" customWidth="1"/>
    <col min="60" max="60" width="9.33203125" style="1311" customWidth="1"/>
    <col min="61" max="61" width="6" style="749" bestFit="1" customWidth="1"/>
    <col min="62" max="62" width="3.83203125" style="749" bestFit="1" customWidth="1"/>
    <col min="63" max="63" width="2.6640625" style="749" bestFit="1" customWidth="1"/>
    <col min="64" max="64" width="2.83203125" style="749" bestFit="1" customWidth="1"/>
    <col min="65" max="65" width="4.6640625" style="749" bestFit="1" customWidth="1"/>
    <col min="66" max="66" width="1.83203125" style="1894" customWidth="1"/>
    <col min="67" max="67" width="3.6640625" style="749" customWidth="1"/>
    <col min="68" max="68" width="4.33203125" style="749" customWidth="1"/>
    <col min="69" max="69" width="3.83203125" style="1311" bestFit="1" customWidth="1"/>
    <col min="70" max="70" width="2.6640625" style="1311" bestFit="1" customWidth="1"/>
    <col min="71" max="71" width="3.83203125" style="749" bestFit="1" customWidth="1"/>
    <col min="72" max="72" width="2.6640625" style="749" bestFit="1" customWidth="1"/>
    <col min="73" max="73" width="5.33203125" style="749" customWidth="1"/>
    <col min="74" max="74" width="8.83203125" style="1194" customWidth="1"/>
    <col min="75" max="76" width="3.33203125" style="1194" customWidth="1"/>
    <col min="77" max="77" width="6.33203125" style="1194" customWidth="1"/>
    <col min="78" max="78" width="4.6640625" style="1194" customWidth="1"/>
    <col min="79" max="79" width="3.33203125" style="1194" customWidth="1"/>
    <col min="80" max="80" width="5.6640625" style="1194" customWidth="1"/>
    <col min="81" max="81" width="4.1640625" style="1194" customWidth="1"/>
    <col min="82" max="82" width="3.33203125" style="1194" customWidth="1"/>
    <col min="83" max="83" width="7.6640625" style="1194" customWidth="1"/>
    <col min="84" max="84" width="5.33203125" style="1194" customWidth="1"/>
    <col min="85" max="85" width="3.33203125" style="1194" customWidth="1"/>
    <col min="86" max="86" width="6.5" style="1194" customWidth="1"/>
    <col min="87" max="87" width="4.83203125" style="1194" customWidth="1"/>
    <col min="88" max="88" width="4.1640625" style="1194" customWidth="1"/>
    <col min="89" max="89" width="4.33203125" style="1194" customWidth="1"/>
    <col min="90" max="90" width="3.6640625" style="1194" customWidth="1"/>
    <col min="91" max="265" width="8.83203125" customWidth="1"/>
  </cols>
  <sheetData>
    <row r="1" spans="1:90" ht="12" customHeight="1" x14ac:dyDescent="0.15">
      <c r="A1" s="2"/>
      <c r="B1" s="262"/>
      <c r="C1" s="4"/>
      <c r="D1" s="4"/>
      <c r="E1" s="262"/>
      <c r="F1" s="262"/>
      <c r="G1" s="262"/>
      <c r="H1" s="262"/>
      <c r="I1" s="262"/>
      <c r="J1" s="262"/>
      <c r="K1" s="262"/>
      <c r="L1" s="262"/>
      <c r="M1" s="4"/>
      <c r="N1" s="4"/>
      <c r="O1" s="4"/>
      <c r="P1" s="4"/>
      <c r="Q1" s="4"/>
      <c r="R1" s="4"/>
      <c r="S1" s="262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27"/>
      <c r="AH1" s="27"/>
      <c r="AI1" s="4"/>
      <c r="AJ1" s="4"/>
      <c r="AK1" s="4"/>
      <c r="AL1" s="4"/>
      <c r="AM1" s="4"/>
      <c r="AN1" s="27"/>
      <c r="AO1" s="4"/>
      <c r="AP1" s="27"/>
      <c r="AQ1" s="1843"/>
      <c r="AR1" s="1843"/>
      <c r="AS1" s="4"/>
      <c r="AT1" s="4"/>
      <c r="AU1" s="4"/>
      <c r="AV1" s="4"/>
      <c r="AW1" s="4"/>
      <c r="AX1" s="1851"/>
      <c r="AY1" s="27"/>
      <c r="AZ1" s="27"/>
      <c r="BA1" s="27"/>
      <c r="BB1" s="27"/>
      <c r="BC1" s="1542"/>
      <c r="BD1" s="27"/>
      <c r="BE1" s="4"/>
      <c r="BF1" s="1541"/>
      <c r="BG1" s="4"/>
      <c r="BH1" s="4"/>
      <c r="BI1" s="4"/>
      <c r="BJ1" s="4"/>
      <c r="BK1" s="27"/>
      <c r="BL1" s="4"/>
      <c r="BM1" s="4"/>
      <c r="BN1" s="1890"/>
      <c r="BO1" s="4"/>
      <c r="BP1" s="4"/>
      <c r="BQ1" s="4"/>
      <c r="BR1" s="4"/>
      <c r="BS1" s="4"/>
      <c r="BT1" s="4"/>
      <c r="BU1" s="4"/>
      <c r="BV1" s="4"/>
      <c r="BW1" s="1786"/>
      <c r="BX1" s="1780"/>
      <c r="BY1" s="1780"/>
      <c r="BZ1" s="1780"/>
      <c r="CA1" s="1780"/>
      <c r="CB1" s="1780"/>
      <c r="CC1" s="1780"/>
      <c r="CD1" s="1780"/>
      <c r="CE1" s="1780"/>
      <c r="CF1" s="1780"/>
      <c r="CG1" s="1780"/>
      <c r="CH1" s="1780"/>
      <c r="CI1" s="1780"/>
      <c r="CJ1" s="1780"/>
      <c r="CK1" s="1780"/>
      <c r="CL1" s="1780"/>
    </row>
    <row r="2" spans="1:90" ht="26" customHeight="1" x14ac:dyDescent="0.15">
      <c r="A2" s="13"/>
      <c r="B2" s="2846" t="s">
        <v>192</v>
      </c>
      <c r="C2" s="2847"/>
      <c r="D2" s="2847"/>
      <c r="E2" s="2847"/>
      <c r="F2" s="2847"/>
      <c r="G2" s="2847"/>
      <c r="H2" s="2847"/>
      <c r="I2" s="2191"/>
      <c r="J2" s="751"/>
      <c r="K2" s="751"/>
      <c r="L2" s="752" t="s">
        <v>193</v>
      </c>
      <c r="M2" s="752" t="s">
        <v>194</v>
      </c>
      <c r="N2" s="752" t="s">
        <v>195</v>
      </c>
      <c r="O2" s="14"/>
      <c r="P2" s="2185"/>
      <c r="Q2" s="2185"/>
      <c r="R2" s="2844" t="s">
        <v>196</v>
      </c>
      <c r="S2" s="2845"/>
      <c r="T2" s="2845"/>
      <c r="U2" s="2845"/>
      <c r="V2" s="2845"/>
      <c r="W2" s="2845"/>
      <c r="X2" s="2845"/>
      <c r="Y2" s="2845"/>
      <c r="Z2" s="2845"/>
      <c r="AA2" s="2845"/>
      <c r="AB2" s="2845"/>
      <c r="AC2" s="2845"/>
      <c r="AD2" s="750"/>
      <c r="AE2" s="2844" t="s">
        <v>197</v>
      </c>
      <c r="AF2" s="2844"/>
      <c r="AG2" s="2844"/>
      <c r="AH2" s="2844"/>
      <c r="AI2" s="2844"/>
      <c r="AJ2" s="2844"/>
      <c r="AK2" s="2844"/>
      <c r="AL2" s="2844"/>
      <c r="AM2" s="2844"/>
      <c r="AN2" s="2844"/>
      <c r="AO2" s="2844"/>
      <c r="AP2" s="2844"/>
      <c r="AQ2" s="2844"/>
      <c r="AR2" s="1844"/>
      <c r="AS2" s="2845" t="s">
        <v>154</v>
      </c>
      <c r="AT2" s="2845"/>
      <c r="AU2" s="2845"/>
      <c r="AV2" s="2845"/>
      <c r="AW2" s="2845"/>
      <c r="AX2" s="2845"/>
      <c r="AY2" s="2845"/>
      <c r="AZ2" s="2845"/>
      <c r="BA2" s="2845"/>
      <c r="BB2" s="2845"/>
      <c r="BC2" s="2845"/>
      <c r="BD2" s="2845"/>
      <c r="BE2" s="2845"/>
      <c r="BF2" s="2845"/>
      <c r="BG2" s="2845"/>
      <c r="BH2" s="1787"/>
      <c r="BI2" s="2844" t="s">
        <v>198</v>
      </c>
      <c r="BJ2" s="2845"/>
      <c r="BK2" s="2845"/>
      <c r="BL2" s="2845"/>
      <c r="BM2" s="2845"/>
      <c r="BN2" s="2845"/>
      <c r="BO2" s="2845"/>
      <c r="BP2" s="2845"/>
      <c r="BQ2" s="2845"/>
      <c r="BR2" s="2845"/>
      <c r="BS2" s="2845"/>
      <c r="BT2" s="2845"/>
      <c r="BU2" s="2845"/>
      <c r="BV2" s="14"/>
      <c r="BW2" s="1786"/>
      <c r="BX2" s="1780"/>
      <c r="BY2" s="1780"/>
      <c r="BZ2" s="1780"/>
      <c r="CA2" s="1780"/>
      <c r="CB2" s="1780"/>
      <c r="CC2" s="1780"/>
      <c r="CD2" s="1780"/>
      <c r="CE2" s="1780"/>
      <c r="CF2" s="1780"/>
      <c r="CG2" s="1780"/>
      <c r="CH2" s="1780"/>
      <c r="CI2" s="1780"/>
      <c r="CJ2" s="1780"/>
      <c r="CK2" s="1780"/>
      <c r="CL2" s="1780"/>
    </row>
    <row r="3" spans="1:90" ht="27" hidden="1" customHeight="1" x14ac:dyDescent="0.2">
      <c r="A3" s="13"/>
      <c r="B3" s="281"/>
      <c r="C3" s="1780"/>
      <c r="D3" s="1780"/>
      <c r="E3" s="281"/>
      <c r="F3" s="281"/>
      <c r="G3" s="281"/>
      <c r="H3" s="281"/>
      <c r="I3" s="281"/>
      <c r="J3" s="753"/>
      <c r="K3" s="753"/>
      <c r="L3" s="752" t="s">
        <v>199</v>
      </c>
      <c r="M3" s="752" t="s">
        <v>104</v>
      </c>
      <c r="N3" s="752" t="s">
        <v>74</v>
      </c>
      <c r="O3" s="14"/>
      <c r="P3" s="2185"/>
      <c r="Q3" s="2185"/>
      <c r="R3" s="14"/>
      <c r="S3" s="281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40"/>
      <c r="AH3" s="40"/>
      <c r="AI3" s="14"/>
      <c r="AJ3" s="14"/>
      <c r="AK3" s="1780"/>
      <c r="AL3" s="1780"/>
      <c r="AM3" s="1780"/>
      <c r="AN3" s="40"/>
      <c r="AO3" s="1780"/>
      <c r="AP3" s="40"/>
      <c r="AQ3" s="203"/>
      <c r="AR3" s="203"/>
      <c r="AS3" s="14"/>
      <c r="AT3" s="1786"/>
      <c r="AU3" s="1786"/>
      <c r="AV3" s="1786"/>
      <c r="AW3" s="1786"/>
      <c r="AX3" s="1851"/>
      <c r="AY3" s="40"/>
      <c r="AZ3" s="40"/>
      <c r="BA3" s="40"/>
      <c r="BB3" s="40"/>
      <c r="BC3" s="23"/>
      <c r="BD3" s="40"/>
      <c r="BE3" s="14"/>
      <c r="BF3" s="1545"/>
      <c r="BG3" s="1786"/>
      <c r="BH3" s="1786"/>
      <c r="BI3" s="14"/>
      <c r="BJ3" s="14"/>
      <c r="BK3" s="40"/>
      <c r="BL3" s="14"/>
      <c r="BM3" s="14"/>
      <c r="BN3" s="1851"/>
      <c r="BO3" s="1786"/>
      <c r="BP3" s="1786"/>
      <c r="BQ3" s="1786"/>
      <c r="BR3" s="1786"/>
      <c r="BS3" s="1786"/>
      <c r="BT3" s="1786"/>
      <c r="BU3" s="1786"/>
      <c r="BV3" s="14"/>
      <c r="BW3" s="1786"/>
      <c r="BX3" s="330"/>
      <c r="BY3" s="1821"/>
      <c r="BZ3" s="1780"/>
      <c r="CA3" s="1780"/>
      <c r="CB3" s="1780"/>
      <c r="CC3" s="1780"/>
      <c r="CD3" s="1780"/>
      <c r="CE3" s="1780"/>
      <c r="CF3" s="1780"/>
      <c r="CG3" s="1780"/>
      <c r="CH3" s="1780"/>
      <c r="CI3" s="1780"/>
      <c r="CJ3" s="1780"/>
      <c r="CK3" s="1780"/>
      <c r="CL3" s="1780"/>
    </row>
    <row r="4" spans="1:90" ht="23" customHeight="1" x14ac:dyDescent="0.2">
      <c r="A4" s="13"/>
      <c r="B4" s="1815" t="s">
        <v>74</v>
      </c>
      <c r="C4" s="1816" t="s">
        <v>53</v>
      </c>
      <c r="D4" s="1817" t="s">
        <v>54</v>
      </c>
      <c r="E4" s="1817" t="s">
        <v>60</v>
      </c>
      <c r="F4" s="1817" t="s">
        <v>56</v>
      </c>
      <c r="G4" s="1817" t="s">
        <v>57</v>
      </c>
      <c r="H4" s="1769" t="s">
        <v>40</v>
      </c>
      <c r="I4" s="2233"/>
      <c r="J4" s="637"/>
      <c r="K4" s="753"/>
      <c r="L4" s="752" t="s">
        <v>200</v>
      </c>
      <c r="M4" s="752" t="s">
        <v>201</v>
      </c>
      <c r="N4" s="752" t="s">
        <v>38</v>
      </c>
      <c r="O4" s="14"/>
      <c r="P4" s="2185"/>
      <c r="Q4" s="2185"/>
      <c r="R4" s="1741" t="s">
        <v>40</v>
      </c>
      <c r="S4" s="2261" t="s">
        <v>202</v>
      </c>
      <c r="T4" s="2262"/>
      <c r="U4" s="1744" t="s">
        <v>203</v>
      </c>
      <c r="V4" s="299"/>
      <c r="W4" s="2274" t="s">
        <v>40</v>
      </c>
      <c r="X4" s="2275" t="s">
        <v>193</v>
      </c>
      <c r="Y4" s="2276" t="s">
        <v>53</v>
      </c>
      <c r="Z4" s="2276" t="s">
        <v>204</v>
      </c>
      <c r="AA4" s="2275" t="s">
        <v>53</v>
      </c>
      <c r="AB4" s="2275" t="s">
        <v>204</v>
      </c>
      <c r="AC4" s="2277" t="s">
        <v>205</v>
      </c>
      <c r="AD4" s="2185"/>
      <c r="AE4" s="2301" t="s">
        <v>40</v>
      </c>
      <c r="AF4" s="2302" t="s">
        <v>53</v>
      </c>
      <c r="AG4" s="2303" t="s">
        <v>44</v>
      </c>
      <c r="AH4" s="2303" t="s">
        <v>382</v>
      </c>
      <c r="AI4" s="2304" t="s">
        <v>206</v>
      </c>
      <c r="AJ4" s="299"/>
      <c r="AK4" s="2318" t="s">
        <v>40</v>
      </c>
      <c r="AL4" s="2319" t="s">
        <v>193</v>
      </c>
      <c r="AM4" s="2302" t="s">
        <v>53</v>
      </c>
      <c r="AN4" s="2303" t="s">
        <v>44</v>
      </c>
      <c r="AO4" s="2302" t="s">
        <v>53</v>
      </c>
      <c r="AP4" s="2303" t="s">
        <v>44</v>
      </c>
      <c r="AQ4" s="2320" t="s">
        <v>383</v>
      </c>
      <c r="AR4" s="1849"/>
      <c r="AS4" s="2301" t="s">
        <v>74</v>
      </c>
      <c r="AT4" s="2340" t="s">
        <v>41</v>
      </c>
      <c r="AU4" s="2302" t="s">
        <v>44</v>
      </c>
      <c r="AV4" s="2319" t="s">
        <v>207</v>
      </c>
      <c r="AW4" s="2304" t="s">
        <v>206</v>
      </c>
      <c r="AY4" s="2318" t="s">
        <v>40</v>
      </c>
      <c r="AZ4" s="2319" t="s">
        <v>193</v>
      </c>
      <c r="BA4" s="2319" t="s">
        <v>53</v>
      </c>
      <c r="BB4" s="2319" t="s">
        <v>44</v>
      </c>
      <c r="BC4" s="2319" t="s">
        <v>207</v>
      </c>
      <c r="BD4" s="2319" t="s">
        <v>53</v>
      </c>
      <c r="BE4" s="2319" t="s">
        <v>44</v>
      </c>
      <c r="BF4" s="2319" t="s">
        <v>207</v>
      </c>
      <c r="BG4" s="2346" t="s">
        <v>205</v>
      </c>
      <c r="BH4" s="2185"/>
      <c r="BI4" s="2301" t="s">
        <v>40</v>
      </c>
      <c r="BJ4" s="2302" t="s">
        <v>53</v>
      </c>
      <c r="BK4" s="2303" t="s">
        <v>44</v>
      </c>
      <c r="BL4" s="2302" t="s">
        <v>382</v>
      </c>
      <c r="BM4" s="2304" t="s">
        <v>203</v>
      </c>
      <c r="BN4" s="1891"/>
      <c r="BO4" s="2301" t="s">
        <v>40</v>
      </c>
      <c r="BP4" s="2302" t="s">
        <v>193</v>
      </c>
      <c r="BQ4" s="2359" t="s">
        <v>53</v>
      </c>
      <c r="BR4" s="2360" t="s">
        <v>44</v>
      </c>
      <c r="BS4" s="2359" t="s">
        <v>53</v>
      </c>
      <c r="BT4" s="2360" t="s">
        <v>44</v>
      </c>
      <c r="BU4" s="2304" t="s">
        <v>205</v>
      </c>
      <c r="BV4" s="1786"/>
      <c r="BW4" s="1786"/>
      <c r="BX4" s="1780"/>
      <c r="BY4" s="1780"/>
      <c r="BZ4" s="1780"/>
      <c r="CA4" s="1780"/>
      <c r="CB4" s="1780"/>
      <c r="CC4" s="1780"/>
      <c r="CD4" s="1780"/>
      <c r="CE4" s="1780"/>
      <c r="CF4" s="1780"/>
      <c r="CG4" s="1780"/>
      <c r="CH4" s="1780"/>
      <c r="CI4" s="1780"/>
      <c r="CJ4" s="1780"/>
      <c r="CK4" s="1780"/>
      <c r="CL4" s="1780"/>
    </row>
    <row r="5" spans="1:90" ht="23" customHeight="1" x14ac:dyDescent="0.3">
      <c r="A5" s="13"/>
      <c r="B5" s="1818">
        <v>1</v>
      </c>
      <c r="C5" s="1418" t="s">
        <v>418</v>
      </c>
      <c r="D5" s="771" t="s">
        <v>68</v>
      </c>
      <c r="E5" s="771" t="s">
        <v>68</v>
      </c>
      <c r="F5" s="771" t="s">
        <v>68</v>
      </c>
      <c r="G5" s="764" t="s">
        <v>69</v>
      </c>
      <c r="H5" s="1819">
        <v>11.26</v>
      </c>
      <c r="I5" s="665"/>
      <c r="J5" s="1812"/>
      <c r="K5" s="754"/>
      <c r="L5" s="752" t="s">
        <v>208</v>
      </c>
      <c r="M5" s="752" t="s">
        <v>209</v>
      </c>
      <c r="N5" s="752" t="s">
        <v>12</v>
      </c>
      <c r="O5" s="14"/>
      <c r="P5" s="2185"/>
      <c r="Q5" s="2185"/>
      <c r="R5" s="2086">
        <v>1</v>
      </c>
      <c r="S5" s="473" t="s">
        <v>10</v>
      </c>
      <c r="T5" s="2253" t="s">
        <v>422</v>
      </c>
      <c r="U5" s="2263">
        <v>2.2000000000000002</v>
      </c>
      <c r="V5" s="755"/>
      <c r="W5" s="2278">
        <v>1</v>
      </c>
      <c r="X5" s="771" t="s">
        <v>68</v>
      </c>
      <c r="Y5" s="2238" t="s">
        <v>23</v>
      </c>
      <c r="Z5" s="2255" t="s">
        <v>422</v>
      </c>
      <c r="AA5" s="1402" t="s">
        <v>10</v>
      </c>
      <c r="AB5" s="2249" t="s">
        <v>422</v>
      </c>
      <c r="AC5" s="1767">
        <v>8.23</v>
      </c>
      <c r="AD5" s="2185"/>
      <c r="AE5" s="2305">
        <v>1</v>
      </c>
      <c r="AF5" s="2293" t="s">
        <v>16</v>
      </c>
      <c r="AG5" s="2294" t="s">
        <v>195</v>
      </c>
      <c r="AH5" s="2295">
        <v>88</v>
      </c>
      <c r="AI5" s="2327">
        <v>3.2</v>
      </c>
      <c r="AJ5" s="755"/>
      <c r="AK5" s="2278">
        <v>1</v>
      </c>
      <c r="AL5" s="771" t="s">
        <v>68</v>
      </c>
      <c r="AM5" s="405" t="s">
        <v>23</v>
      </c>
      <c r="AN5" s="1827" t="s">
        <v>104</v>
      </c>
      <c r="AO5" s="1871" t="s">
        <v>18</v>
      </c>
      <c r="AP5" s="1833" t="s">
        <v>104</v>
      </c>
      <c r="AQ5" s="2321">
        <v>9.24</v>
      </c>
      <c r="AR5" s="1845"/>
      <c r="AS5" s="2307">
        <v>1</v>
      </c>
      <c r="AT5" s="1871" t="s">
        <v>18</v>
      </c>
      <c r="AU5" s="1833" t="s">
        <v>104</v>
      </c>
      <c r="AV5" s="1878" t="s">
        <v>376</v>
      </c>
      <c r="AW5" s="2328">
        <v>3.8</v>
      </c>
      <c r="AX5" s="1853"/>
      <c r="AY5" s="2347">
        <v>1</v>
      </c>
      <c r="AZ5" s="771" t="s">
        <v>68</v>
      </c>
      <c r="BA5" s="405" t="s">
        <v>23</v>
      </c>
      <c r="BB5" s="1827" t="s">
        <v>199</v>
      </c>
      <c r="BC5" s="1875" t="s">
        <v>38</v>
      </c>
      <c r="BD5" s="1871" t="s">
        <v>18</v>
      </c>
      <c r="BE5" s="1833" t="s">
        <v>104</v>
      </c>
      <c r="BF5" s="1878" t="s">
        <v>376</v>
      </c>
      <c r="BG5" s="2351">
        <v>10.08</v>
      </c>
      <c r="BH5" s="2185"/>
      <c r="BI5" s="2368">
        <v>1</v>
      </c>
      <c r="BJ5" s="1871" t="s">
        <v>18</v>
      </c>
      <c r="BK5" s="1833" t="s">
        <v>104</v>
      </c>
      <c r="BL5" s="1841">
        <v>134</v>
      </c>
      <c r="BM5" s="2291">
        <v>3.6</v>
      </c>
      <c r="BN5" s="1892"/>
      <c r="BO5" s="2278">
        <v>1</v>
      </c>
      <c r="BP5" s="765" t="s">
        <v>113</v>
      </c>
      <c r="BQ5" s="2293" t="s">
        <v>16</v>
      </c>
      <c r="BR5" s="2294" t="s">
        <v>195</v>
      </c>
      <c r="BS5" s="1871" t="s">
        <v>18</v>
      </c>
      <c r="BT5" s="1833" t="s">
        <v>104</v>
      </c>
      <c r="BU5" s="2361">
        <v>9.59</v>
      </c>
      <c r="BV5" s="1786"/>
      <c r="BW5" s="1786"/>
      <c r="BX5" s="1780"/>
      <c r="BY5" s="1780"/>
      <c r="BZ5" s="1780"/>
      <c r="CA5" s="1780"/>
      <c r="CB5" s="1780"/>
      <c r="CC5" s="1780"/>
      <c r="CD5" s="1780"/>
      <c r="CE5" s="1780"/>
      <c r="CF5" s="1780"/>
      <c r="CG5" s="1780"/>
      <c r="CH5" s="1780"/>
      <c r="CI5" s="1780"/>
      <c r="CJ5" s="1780"/>
      <c r="CK5" s="1780"/>
      <c r="CL5" s="1780"/>
    </row>
    <row r="6" spans="1:90" ht="23" customHeight="1" x14ac:dyDescent="0.3">
      <c r="A6" s="13"/>
      <c r="B6" s="1818">
        <v>2</v>
      </c>
      <c r="C6" s="2187" t="s">
        <v>126</v>
      </c>
      <c r="D6" s="771" t="s">
        <v>68</v>
      </c>
      <c r="E6" s="771" t="s">
        <v>68</v>
      </c>
      <c r="F6" s="771" t="s">
        <v>68</v>
      </c>
      <c r="G6" s="771" t="s">
        <v>68</v>
      </c>
      <c r="H6" s="2194">
        <v>11.95</v>
      </c>
      <c r="I6" s="2197"/>
      <c r="J6" s="753"/>
      <c r="K6" s="753"/>
      <c r="L6" s="764" t="s">
        <v>69</v>
      </c>
      <c r="M6" s="765" t="s">
        <v>106</v>
      </c>
      <c r="N6" s="765" t="s">
        <v>113</v>
      </c>
      <c r="O6" s="14"/>
      <c r="P6" s="2185"/>
      <c r="Q6" s="2185"/>
      <c r="R6" s="2087">
        <v>2</v>
      </c>
      <c r="S6" s="542" t="s">
        <v>11</v>
      </c>
      <c r="T6" s="2254" t="s">
        <v>38</v>
      </c>
      <c r="U6" s="2264">
        <v>4.8</v>
      </c>
      <c r="V6" s="755"/>
      <c r="W6" s="2278">
        <v>2</v>
      </c>
      <c r="X6" s="771" t="s">
        <v>68</v>
      </c>
      <c r="Y6" s="1402" t="s">
        <v>10</v>
      </c>
      <c r="Z6" s="2249" t="s">
        <v>422</v>
      </c>
      <c r="AA6" s="542" t="s">
        <v>11</v>
      </c>
      <c r="AB6" s="2254" t="s">
        <v>38</v>
      </c>
      <c r="AC6" s="1767">
        <v>8.93</v>
      </c>
      <c r="AD6" s="2185"/>
      <c r="AE6" s="2307">
        <v>2</v>
      </c>
      <c r="AF6" s="1871" t="s">
        <v>18</v>
      </c>
      <c r="AG6" s="1833" t="s">
        <v>104</v>
      </c>
      <c r="AH6" s="1841">
        <v>138</v>
      </c>
      <c r="AI6" s="2328">
        <v>3.2</v>
      </c>
      <c r="AJ6" s="755"/>
      <c r="AK6" s="2278">
        <v>2</v>
      </c>
      <c r="AL6" s="771" t="s">
        <v>68</v>
      </c>
      <c r="AM6" s="1869" t="s">
        <v>10</v>
      </c>
      <c r="AN6" s="1828" t="s">
        <v>199</v>
      </c>
      <c r="AO6" s="2293" t="s">
        <v>16</v>
      </c>
      <c r="AP6" s="2294" t="s">
        <v>195</v>
      </c>
      <c r="AQ6" s="2322">
        <v>9.8699999999999992</v>
      </c>
      <c r="AR6" s="1842"/>
      <c r="AS6" s="2308">
        <v>2</v>
      </c>
      <c r="AT6" s="1869" t="s">
        <v>10</v>
      </c>
      <c r="AU6" s="1828" t="s">
        <v>199</v>
      </c>
      <c r="AV6" s="1874" t="s">
        <v>422</v>
      </c>
      <c r="AW6" s="2329">
        <v>4.2</v>
      </c>
      <c r="AX6" s="1854"/>
      <c r="AY6" s="2347">
        <v>2</v>
      </c>
      <c r="AZ6" s="765" t="s">
        <v>113</v>
      </c>
      <c r="BA6" s="2293" t="s">
        <v>16</v>
      </c>
      <c r="BB6" s="2294" t="s">
        <v>195</v>
      </c>
      <c r="BC6" s="2337" t="s">
        <v>422</v>
      </c>
      <c r="BD6" s="1871" t="s">
        <v>18</v>
      </c>
      <c r="BE6" s="1833" t="s">
        <v>104</v>
      </c>
      <c r="BF6" s="1878" t="s">
        <v>376</v>
      </c>
      <c r="BG6" s="2351">
        <v>10.199999999999999</v>
      </c>
      <c r="BH6" s="2185"/>
      <c r="BI6" s="2369">
        <v>2</v>
      </c>
      <c r="BJ6" s="2293" t="s">
        <v>16</v>
      </c>
      <c r="BK6" s="2294" t="s">
        <v>195</v>
      </c>
      <c r="BL6" s="2295">
        <v>86</v>
      </c>
      <c r="BM6" s="2306">
        <v>3.8</v>
      </c>
      <c r="BN6" s="1892"/>
      <c r="BO6" s="2278">
        <v>2</v>
      </c>
      <c r="BP6" s="764" t="s">
        <v>69</v>
      </c>
      <c r="BQ6" s="1872" t="s">
        <v>14</v>
      </c>
      <c r="BR6" s="1830" t="s">
        <v>38</v>
      </c>
      <c r="BS6" s="2293" t="s">
        <v>16</v>
      </c>
      <c r="BT6" s="2294" t="s">
        <v>195</v>
      </c>
      <c r="BU6" s="2361">
        <v>9.66</v>
      </c>
      <c r="BV6" s="1786"/>
      <c r="BW6" s="1786"/>
      <c r="BX6" s="1780"/>
      <c r="BY6" s="1780"/>
      <c r="BZ6" s="1780"/>
      <c r="CA6" s="1780"/>
      <c r="CB6" s="1780"/>
      <c r="CC6" s="1780"/>
      <c r="CD6" s="1780"/>
      <c r="CE6" s="1780"/>
      <c r="CF6" s="1780"/>
      <c r="CG6" s="1780"/>
      <c r="CH6" s="1780"/>
      <c r="CI6" s="1780"/>
      <c r="CJ6" s="1780"/>
      <c r="CK6" s="1780"/>
      <c r="CL6" s="1780"/>
    </row>
    <row r="7" spans="1:90" ht="23" customHeight="1" x14ac:dyDescent="0.3">
      <c r="A7" s="13"/>
      <c r="B7" s="1818">
        <v>3</v>
      </c>
      <c r="C7" s="2196" t="s">
        <v>413</v>
      </c>
      <c r="D7" s="764" t="s">
        <v>69</v>
      </c>
      <c r="E7" s="764" t="s">
        <v>69</v>
      </c>
      <c r="F7" s="764" t="s">
        <v>69</v>
      </c>
      <c r="G7" s="771" t="s">
        <v>68</v>
      </c>
      <c r="H7" s="1819">
        <v>13.33</v>
      </c>
      <c r="I7" s="665"/>
      <c r="J7" s="637"/>
      <c r="K7" s="753"/>
      <c r="L7" s="771" t="s">
        <v>68</v>
      </c>
      <c r="M7" s="772" t="s">
        <v>63</v>
      </c>
      <c r="N7" s="766"/>
      <c r="O7" s="14"/>
      <c r="P7" s="2185"/>
      <c r="Q7" s="2185"/>
      <c r="R7" s="2088">
        <v>3</v>
      </c>
      <c r="S7" s="405" t="s">
        <v>23</v>
      </c>
      <c r="T7" s="2255" t="s">
        <v>422</v>
      </c>
      <c r="U7" s="2265">
        <v>4.8</v>
      </c>
      <c r="V7" s="755"/>
      <c r="W7" s="2278">
        <v>3</v>
      </c>
      <c r="X7" s="771" t="s">
        <v>68</v>
      </c>
      <c r="Y7" s="1402" t="s">
        <v>10</v>
      </c>
      <c r="Z7" s="2249" t="s">
        <v>422</v>
      </c>
      <c r="AA7" s="453" t="s">
        <v>16</v>
      </c>
      <c r="AB7" s="2257" t="s">
        <v>38</v>
      </c>
      <c r="AC7" s="1767">
        <v>9.5399999999999991</v>
      </c>
      <c r="AD7" s="2185"/>
      <c r="AE7" s="2308">
        <v>3</v>
      </c>
      <c r="AF7" s="1869" t="s">
        <v>10</v>
      </c>
      <c r="AG7" s="1828" t="s">
        <v>199</v>
      </c>
      <c r="AH7" s="1836">
        <v>99</v>
      </c>
      <c r="AI7" s="2329">
        <v>5.2</v>
      </c>
      <c r="AJ7" s="755"/>
      <c r="AK7" s="2278">
        <v>3</v>
      </c>
      <c r="AL7" s="764" t="s">
        <v>69</v>
      </c>
      <c r="AM7" s="1872" t="s">
        <v>14</v>
      </c>
      <c r="AN7" s="1830" t="s">
        <v>38</v>
      </c>
      <c r="AO7" s="2293" t="s">
        <v>16</v>
      </c>
      <c r="AP7" s="2294" t="s">
        <v>195</v>
      </c>
      <c r="AQ7" s="2322">
        <v>10.1</v>
      </c>
      <c r="AR7" s="1845"/>
      <c r="AS7" s="2305">
        <v>3</v>
      </c>
      <c r="AT7" s="2293" t="s">
        <v>16</v>
      </c>
      <c r="AU7" s="2294" t="s">
        <v>195</v>
      </c>
      <c r="AV7" s="2337" t="s">
        <v>422</v>
      </c>
      <c r="AW7" s="2327">
        <v>4.2</v>
      </c>
      <c r="AX7" s="1853"/>
      <c r="AY7" s="2347">
        <v>3</v>
      </c>
      <c r="AZ7" s="771" t="s">
        <v>68</v>
      </c>
      <c r="BA7" s="1869" t="s">
        <v>10</v>
      </c>
      <c r="BB7" s="1828" t="s">
        <v>199</v>
      </c>
      <c r="BC7" s="1874" t="s">
        <v>422</v>
      </c>
      <c r="BD7" s="2293" t="s">
        <v>16</v>
      </c>
      <c r="BE7" s="2294" t="s">
        <v>195</v>
      </c>
      <c r="BF7" s="2337" t="s">
        <v>422</v>
      </c>
      <c r="BG7" s="2351">
        <v>10.29</v>
      </c>
      <c r="BH7" s="2185"/>
      <c r="BI7" s="1748">
        <v>3</v>
      </c>
      <c r="BJ7" s="372" t="s">
        <v>15</v>
      </c>
      <c r="BK7" s="2296" t="s">
        <v>104</v>
      </c>
      <c r="BL7" s="2297">
        <v>145</v>
      </c>
      <c r="BM7" s="1763">
        <v>4</v>
      </c>
      <c r="BN7" s="1892"/>
      <c r="BO7" s="2278">
        <v>3</v>
      </c>
      <c r="BP7" s="771" t="s">
        <v>68</v>
      </c>
      <c r="BQ7" s="372" t="s">
        <v>15</v>
      </c>
      <c r="BR7" s="2296" t="s">
        <v>104</v>
      </c>
      <c r="BS7" s="1871" t="s">
        <v>18</v>
      </c>
      <c r="BT7" s="1833" t="s">
        <v>104</v>
      </c>
      <c r="BU7" s="2361">
        <v>9.69</v>
      </c>
      <c r="BV7" s="1786"/>
      <c r="BW7" s="1786"/>
      <c r="BX7" s="1780"/>
      <c r="BY7" s="1780"/>
      <c r="BZ7" s="1780"/>
      <c r="CA7" s="1780"/>
      <c r="CB7" s="1780"/>
      <c r="CC7" s="1780"/>
      <c r="CD7" s="1780"/>
      <c r="CE7" s="1780"/>
      <c r="CF7" s="1780"/>
      <c r="CG7" s="1780"/>
      <c r="CH7" s="1780"/>
      <c r="CI7" s="1780"/>
      <c r="CJ7" s="1780"/>
      <c r="CK7" s="1780"/>
      <c r="CL7" s="1780"/>
    </row>
    <row r="8" spans="1:90" ht="23" customHeight="1" x14ac:dyDescent="0.3">
      <c r="A8" s="13"/>
      <c r="B8" s="1818">
        <v>4</v>
      </c>
      <c r="C8" s="2203" t="s">
        <v>125</v>
      </c>
      <c r="D8" s="764" t="s">
        <v>69</v>
      </c>
      <c r="E8" s="764" t="s">
        <v>69</v>
      </c>
      <c r="F8" s="764" t="s">
        <v>69</v>
      </c>
      <c r="G8" s="764" t="s">
        <v>69</v>
      </c>
      <c r="H8" s="1819">
        <v>13.82</v>
      </c>
      <c r="I8" s="665"/>
      <c r="J8" s="753"/>
      <c r="K8" s="753"/>
      <c r="L8" s="777" t="s">
        <v>107</v>
      </c>
      <c r="M8" s="778" t="s">
        <v>105</v>
      </c>
      <c r="N8" s="778" t="s">
        <v>72</v>
      </c>
      <c r="O8" s="14"/>
      <c r="P8" s="2185"/>
      <c r="Q8" s="2185"/>
      <c r="R8" s="2089">
        <v>4</v>
      </c>
      <c r="S8" s="318" t="s">
        <v>9</v>
      </c>
      <c r="T8" s="2256" t="s">
        <v>381</v>
      </c>
      <c r="U8" s="2266">
        <v>5.6</v>
      </c>
      <c r="V8" s="755"/>
      <c r="W8" s="2278">
        <v>4</v>
      </c>
      <c r="X8" s="764" t="s">
        <v>69</v>
      </c>
      <c r="Y8" s="2193" t="s">
        <v>9</v>
      </c>
      <c r="Z8" s="2256" t="s">
        <v>381</v>
      </c>
      <c r="AA8" s="1402" t="s">
        <v>10</v>
      </c>
      <c r="AB8" s="2249" t="s">
        <v>422</v>
      </c>
      <c r="AC8" s="1767">
        <v>9.75</v>
      </c>
      <c r="AD8" s="2185"/>
      <c r="AE8" s="1753">
        <v>4</v>
      </c>
      <c r="AF8" s="405" t="s">
        <v>23</v>
      </c>
      <c r="AG8" s="1827" t="s">
        <v>104</v>
      </c>
      <c r="AH8" s="1895">
        <v>120</v>
      </c>
      <c r="AI8" s="2330">
        <v>5.2</v>
      </c>
      <c r="AJ8" s="755"/>
      <c r="AK8" s="2278">
        <v>4</v>
      </c>
      <c r="AL8" s="771" t="s">
        <v>68</v>
      </c>
      <c r="AM8" s="1868" t="s">
        <v>11</v>
      </c>
      <c r="AN8" s="1829" t="s">
        <v>195</v>
      </c>
      <c r="AO8" s="2293" t="s">
        <v>16</v>
      </c>
      <c r="AP8" s="2294" t="s">
        <v>195</v>
      </c>
      <c r="AQ8" s="2321">
        <v>10.1</v>
      </c>
      <c r="AR8" s="1845"/>
      <c r="AS8" s="1753">
        <v>4</v>
      </c>
      <c r="AT8" s="405" t="s">
        <v>23</v>
      </c>
      <c r="AU8" s="1827" t="s">
        <v>199</v>
      </c>
      <c r="AV8" s="1875" t="s">
        <v>38</v>
      </c>
      <c r="AW8" s="2330">
        <v>4.5999999999999996</v>
      </c>
      <c r="AX8" s="1854"/>
      <c r="AY8" s="2347">
        <v>4</v>
      </c>
      <c r="AZ8" s="778" t="s">
        <v>72</v>
      </c>
      <c r="BA8" s="405" t="s">
        <v>23</v>
      </c>
      <c r="BB8" s="1827" t="s">
        <v>199</v>
      </c>
      <c r="BC8" s="1875" t="s">
        <v>38</v>
      </c>
      <c r="BD8" s="2293" t="s">
        <v>16</v>
      </c>
      <c r="BE8" s="2294" t="s">
        <v>195</v>
      </c>
      <c r="BF8" s="2337" t="s">
        <v>422</v>
      </c>
      <c r="BG8" s="2351">
        <v>10.56</v>
      </c>
      <c r="BH8" s="2185"/>
      <c r="BI8" s="2370">
        <v>4</v>
      </c>
      <c r="BJ8" s="1869" t="s">
        <v>10</v>
      </c>
      <c r="BK8" s="1828" t="s">
        <v>193</v>
      </c>
      <c r="BL8" s="1836">
        <v>10</v>
      </c>
      <c r="BM8" s="2287">
        <v>5</v>
      </c>
      <c r="BN8" s="1892"/>
      <c r="BO8" s="2278">
        <v>4</v>
      </c>
      <c r="BP8" s="777" t="s">
        <v>107</v>
      </c>
      <c r="BQ8" s="372" t="s">
        <v>15</v>
      </c>
      <c r="BR8" s="2296" t="s">
        <v>104</v>
      </c>
      <c r="BS8" s="2293" t="s">
        <v>16</v>
      </c>
      <c r="BT8" s="2294" t="s">
        <v>195</v>
      </c>
      <c r="BU8" s="2361">
        <v>9.93</v>
      </c>
      <c r="BV8" s="1786"/>
      <c r="BW8" s="1786"/>
      <c r="BX8" s="1780"/>
      <c r="BY8" s="1780"/>
      <c r="BZ8" s="1780"/>
      <c r="CA8" s="1780"/>
      <c r="CB8" s="1780"/>
      <c r="CC8" s="1780"/>
      <c r="CD8" s="1780"/>
      <c r="CE8" s="1780"/>
      <c r="CF8" s="1780"/>
      <c r="CG8" s="1780"/>
      <c r="CH8" s="1780"/>
      <c r="CI8" s="1780"/>
      <c r="CJ8" s="1780"/>
      <c r="CK8" s="1780"/>
      <c r="CL8" s="1780"/>
    </row>
    <row r="9" spans="1:90" ht="23" customHeight="1" x14ac:dyDescent="0.3">
      <c r="A9" s="13"/>
      <c r="B9" s="1818">
        <v>5</v>
      </c>
      <c r="C9" s="2196" t="s">
        <v>135</v>
      </c>
      <c r="D9" s="764" t="s">
        <v>69</v>
      </c>
      <c r="E9" s="764" t="s">
        <v>69</v>
      </c>
      <c r="F9" s="764" t="s">
        <v>69</v>
      </c>
      <c r="G9" s="764" t="s">
        <v>69</v>
      </c>
      <c r="H9" s="1819">
        <v>14.89</v>
      </c>
      <c r="I9" s="665"/>
      <c r="J9" s="753"/>
      <c r="K9" s="753"/>
      <c r="L9" s="40"/>
      <c r="M9" s="14"/>
      <c r="N9" s="14"/>
      <c r="O9" s="14"/>
      <c r="P9" s="2185"/>
      <c r="Q9" s="2185"/>
      <c r="R9" s="2090">
        <v>5</v>
      </c>
      <c r="S9" s="453" t="s">
        <v>16</v>
      </c>
      <c r="T9" s="2257" t="s">
        <v>38</v>
      </c>
      <c r="U9" s="2267">
        <v>5.6</v>
      </c>
      <c r="V9" s="755"/>
      <c r="W9" s="2278">
        <v>5</v>
      </c>
      <c r="X9" s="771" t="s">
        <v>68</v>
      </c>
      <c r="Y9" s="542" t="s">
        <v>11</v>
      </c>
      <c r="Z9" s="2254" t="s">
        <v>38</v>
      </c>
      <c r="AA9" s="453" t="s">
        <v>16</v>
      </c>
      <c r="AB9" s="2257" t="s">
        <v>38</v>
      </c>
      <c r="AC9" s="2279">
        <v>10.64</v>
      </c>
      <c r="AD9" s="2185"/>
      <c r="AE9" s="1764">
        <v>5</v>
      </c>
      <c r="AF9" s="387" t="s">
        <v>17</v>
      </c>
      <c r="AG9" s="1823" t="s">
        <v>200</v>
      </c>
      <c r="AH9" s="1839">
        <v>190</v>
      </c>
      <c r="AI9" s="2331">
        <v>5.6</v>
      </c>
      <c r="AJ9" s="755"/>
      <c r="AK9" s="2278">
        <v>5</v>
      </c>
      <c r="AL9" s="778" t="s">
        <v>105</v>
      </c>
      <c r="AM9" s="1872" t="s">
        <v>14</v>
      </c>
      <c r="AN9" s="1830" t="s">
        <v>38</v>
      </c>
      <c r="AO9" s="1871" t="s">
        <v>18</v>
      </c>
      <c r="AP9" s="1833" t="s">
        <v>104</v>
      </c>
      <c r="AQ9" s="2321">
        <v>11.05</v>
      </c>
      <c r="AR9" s="1842"/>
      <c r="AS9" s="2310">
        <v>5</v>
      </c>
      <c r="AT9" s="1868" t="s">
        <v>11</v>
      </c>
      <c r="AU9" s="1829" t="s">
        <v>195</v>
      </c>
      <c r="AV9" s="1876" t="s">
        <v>422</v>
      </c>
      <c r="AW9" s="2332">
        <v>5.4</v>
      </c>
      <c r="AX9" s="1855"/>
      <c r="AY9" s="2347">
        <v>5</v>
      </c>
      <c r="AZ9" s="771" t="s">
        <v>68</v>
      </c>
      <c r="BA9" s="1868" t="s">
        <v>11</v>
      </c>
      <c r="BB9" s="1829" t="s">
        <v>195</v>
      </c>
      <c r="BC9" s="1876" t="s">
        <v>422</v>
      </c>
      <c r="BD9" s="2293" t="s">
        <v>16</v>
      </c>
      <c r="BE9" s="2294" t="s">
        <v>195</v>
      </c>
      <c r="BF9" s="2337" t="s">
        <v>422</v>
      </c>
      <c r="BG9" s="2351">
        <v>10.56</v>
      </c>
      <c r="BH9" s="2185"/>
      <c r="BI9" s="2371">
        <v>5</v>
      </c>
      <c r="BJ9" s="1868" t="s">
        <v>11</v>
      </c>
      <c r="BK9" s="1829" t="s">
        <v>209</v>
      </c>
      <c r="BL9" s="1837">
        <v>314</v>
      </c>
      <c r="BM9" s="2288">
        <v>5.4</v>
      </c>
      <c r="BN9" s="1892"/>
      <c r="BO9" s="2278">
        <v>5</v>
      </c>
      <c r="BP9" s="764" t="s">
        <v>69</v>
      </c>
      <c r="BQ9" s="1868" t="s">
        <v>11</v>
      </c>
      <c r="BR9" s="1829" t="s">
        <v>209</v>
      </c>
      <c r="BS9" s="1871" t="s">
        <v>18</v>
      </c>
      <c r="BT9" s="1833" t="s">
        <v>104</v>
      </c>
      <c r="BU9" s="2361">
        <v>10.15</v>
      </c>
      <c r="BV9" s="1786"/>
      <c r="BW9" s="1786"/>
      <c r="BX9" s="1780"/>
      <c r="BY9" s="1780"/>
      <c r="BZ9" s="1780"/>
      <c r="CA9" s="1780"/>
      <c r="CB9" s="1780"/>
      <c r="CC9" s="1780"/>
      <c r="CD9" s="1780"/>
      <c r="CE9" s="1780"/>
      <c r="CF9" s="1780"/>
      <c r="CG9" s="1780"/>
      <c r="CH9" s="1780"/>
      <c r="CI9" s="1780"/>
      <c r="CJ9" s="1780"/>
      <c r="CK9" s="1780"/>
      <c r="CL9" s="1780"/>
    </row>
    <row r="10" spans="1:90" ht="23" customHeight="1" x14ac:dyDescent="0.3">
      <c r="A10" s="13"/>
      <c r="B10" s="1818">
        <v>6</v>
      </c>
      <c r="C10" s="2190" t="s">
        <v>110</v>
      </c>
      <c r="D10" s="771" t="s">
        <v>68</v>
      </c>
      <c r="E10" s="771" t="s">
        <v>68</v>
      </c>
      <c r="F10" s="771" t="s">
        <v>68</v>
      </c>
      <c r="G10" s="777" t="s">
        <v>107</v>
      </c>
      <c r="H10" s="1819">
        <v>15.96</v>
      </c>
      <c r="I10" s="665"/>
      <c r="J10" s="753"/>
      <c r="K10" s="753"/>
      <c r="L10" s="40"/>
      <c r="M10" s="14"/>
      <c r="N10" s="14"/>
      <c r="O10" s="14"/>
      <c r="P10" s="2185"/>
      <c r="Q10" s="2185"/>
      <c r="R10" s="2091">
        <v>6</v>
      </c>
      <c r="S10" s="422" t="s">
        <v>18</v>
      </c>
      <c r="T10" s="2258" t="s">
        <v>423</v>
      </c>
      <c r="U10" s="2268">
        <v>6</v>
      </c>
      <c r="V10" s="755"/>
      <c r="W10" s="2278">
        <v>6</v>
      </c>
      <c r="X10" s="765" t="s">
        <v>106</v>
      </c>
      <c r="Y10" s="1402" t="s">
        <v>10</v>
      </c>
      <c r="Z10" s="2249" t="s">
        <v>422</v>
      </c>
      <c r="AA10" s="387" t="s">
        <v>17</v>
      </c>
      <c r="AB10" s="2259" t="s">
        <v>378</v>
      </c>
      <c r="AC10" s="1767">
        <v>11.13</v>
      </c>
      <c r="AD10" s="2185"/>
      <c r="AE10" s="2310">
        <v>6</v>
      </c>
      <c r="AF10" s="1868" t="s">
        <v>11</v>
      </c>
      <c r="AG10" s="1829" t="s">
        <v>195</v>
      </c>
      <c r="AH10" s="1837">
        <v>84</v>
      </c>
      <c r="AI10" s="2332">
        <v>5.8</v>
      </c>
      <c r="AJ10" s="755"/>
      <c r="AK10" s="2278">
        <v>6</v>
      </c>
      <c r="AL10" s="764" t="s">
        <v>69</v>
      </c>
      <c r="AM10" s="2298" t="s">
        <v>9</v>
      </c>
      <c r="AN10" s="2299" t="s">
        <v>209</v>
      </c>
      <c r="AO10" s="1871" t="s">
        <v>18</v>
      </c>
      <c r="AP10" s="1833" t="s">
        <v>104</v>
      </c>
      <c r="AQ10" s="2322">
        <v>11.89</v>
      </c>
      <c r="AR10" s="1845"/>
      <c r="AS10" s="1762">
        <v>6</v>
      </c>
      <c r="AT10" s="372" t="s">
        <v>15</v>
      </c>
      <c r="AU10" s="2296" t="s">
        <v>104</v>
      </c>
      <c r="AV10" s="2338" t="s">
        <v>376</v>
      </c>
      <c r="AW10" s="2334">
        <v>5.4</v>
      </c>
      <c r="AX10" s="1856"/>
      <c r="AY10" s="2347">
        <v>6</v>
      </c>
      <c r="AZ10" s="771" t="s">
        <v>68</v>
      </c>
      <c r="BA10" s="372" t="s">
        <v>15</v>
      </c>
      <c r="BB10" s="2296" t="s">
        <v>104</v>
      </c>
      <c r="BC10" s="2338" t="s">
        <v>376</v>
      </c>
      <c r="BD10" s="1871" t="s">
        <v>18</v>
      </c>
      <c r="BE10" s="1833" t="s">
        <v>104</v>
      </c>
      <c r="BF10" s="1878" t="s">
        <v>376</v>
      </c>
      <c r="BG10" s="2351">
        <v>11.25</v>
      </c>
      <c r="BH10" s="2185"/>
      <c r="BI10" s="2372">
        <v>6</v>
      </c>
      <c r="BJ10" s="1872" t="s">
        <v>14</v>
      </c>
      <c r="BK10" s="1830" t="s">
        <v>38</v>
      </c>
      <c r="BL10" s="1838">
        <v>266</v>
      </c>
      <c r="BM10" s="2289">
        <v>5.6</v>
      </c>
      <c r="BN10" s="1892"/>
      <c r="BO10" s="2278">
        <v>6</v>
      </c>
      <c r="BP10" s="778" t="s">
        <v>105</v>
      </c>
      <c r="BQ10" s="1869" t="s">
        <v>10</v>
      </c>
      <c r="BR10" s="1828" t="s">
        <v>193</v>
      </c>
      <c r="BS10" s="1871" t="s">
        <v>18</v>
      </c>
      <c r="BT10" s="1833" t="s">
        <v>104</v>
      </c>
      <c r="BU10" s="2361">
        <v>10.75</v>
      </c>
      <c r="BV10" s="1786"/>
      <c r="BW10" s="1786"/>
      <c r="BX10" s="1780"/>
      <c r="BY10" s="1780"/>
      <c r="BZ10" s="1780"/>
      <c r="CA10" s="1780"/>
      <c r="CB10" s="1780"/>
      <c r="CC10" s="1780"/>
      <c r="CD10" s="1780"/>
      <c r="CE10" s="1780"/>
      <c r="CF10" s="1780"/>
      <c r="CG10" s="1780"/>
      <c r="CH10" s="1780"/>
      <c r="CI10" s="1780"/>
      <c r="CJ10" s="1780"/>
      <c r="CK10" s="1780"/>
      <c r="CL10" s="1780"/>
    </row>
    <row r="11" spans="1:90" ht="23" customHeight="1" x14ac:dyDescent="0.3">
      <c r="A11" s="13"/>
      <c r="B11" s="1818">
        <v>7</v>
      </c>
      <c r="C11" s="2190" t="s">
        <v>134</v>
      </c>
      <c r="D11" s="764" t="s">
        <v>106</v>
      </c>
      <c r="E11" s="764" t="s">
        <v>106</v>
      </c>
      <c r="F11" s="764" t="s">
        <v>106</v>
      </c>
      <c r="G11" s="764" t="s">
        <v>69</v>
      </c>
      <c r="H11" s="1819">
        <v>16.53</v>
      </c>
      <c r="I11" s="665"/>
      <c r="J11" s="753"/>
      <c r="K11" s="753"/>
      <c r="L11" s="40"/>
      <c r="M11" s="14"/>
      <c r="N11" s="14"/>
      <c r="O11" s="14"/>
      <c r="P11" s="2185"/>
      <c r="Q11" s="2185"/>
      <c r="R11" s="2092">
        <v>7</v>
      </c>
      <c r="S11" s="387" t="s">
        <v>17</v>
      </c>
      <c r="T11" s="2259" t="s">
        <v>378</v>
      </c>
      <c r="U11" s="2269">
        <v>6.2</v>
      </c>
      <c r="V11" s="755"/>
      <c r="W11" s="2278">
        <v>7</v>
      </c>
      <c r="X11" s="778" t="s">
        <v>72</v>
      </c>
      <c r="Y11" s="1402" t="s">
        <v>10</v>
      </c>
      <c r="Z11" s="2249" t="s">
        <v>422</v>
      </c>
      <c r="AA11" s="1409" t="s">
        <v>18</v>
      </c>
      <c r="AB11" s="2250" t="s">
        <v>423</v>
      </c>
      <c r="AC11" s="1767">
        <v>11.48</v>
      </c>
      <c r="AD11" s="2185"/>
      <c r="AE11" s="2311">
        <v>7</v>
      </c>
      <c r="AF11" s="1872" t="s">
        <v>14</v>
      </c>
      <c r="AG11" s="1830" t="s">
        <v>38</v>
      </c>
      <c r="AH11" s="1838">
        <v>259</v>
      </c>
      <c r="AI11" s="2333">
        <v>5.8</v>
      </c>
      <c r="AJ11" s="755"/>
      <c r="AK11" s="2278">
        <v>7</v>
      </c>
      <c r="AL11" s="771" t="s">
        <v>68</v>
      </c>
      <c r="AM11" s="372" t="s">
        <v>15</v>
      </c>
      <c r="AN11" s="2296" t="s">
        <v>104</v>
      </c>
      <c r="AO11" s="1871" t="s">
        <v>18</v>
      </c>
      <c r="AP11" s="1833" t="s">
        <v>104</v>
      </c>
      <c r="AQ11" s="2321">
        <v>12</v>
      </c>
      <c r="AR11" s="1842"/>
      <c r="AS11" s="1764">
        <v>7</v>
      </c>
      <c r="AT11" s="387" t="s">
        <v>17</v>
      </c>
      <c r="AU11" s="1823" t="s">
        <v>200</v>
      </c>
      <c r="AV11" s="1880" t="s">
        <v>384</v>
      </c>
      <c r="AW11" s="2331">
        <v>6.2</v>
      </c>
      <c r="AX11" s="1857"/>
      <c r="AY11" s="2347">
        <v>7</v>
      </c>
      <c r="AZ11" s="765" t="s">
        <v>106</v>
      </c>
      <c r="BA11" s="1869" t="s">
        <v>10</v>
      </c>
      <c r="BB11" s="1828" t="s">
        <v>199</v>
      </c>
      <c r="BC11" s="1874" t="s">
        <v>422</v>
      </c>
      <c r="BD11" s="387" t="s">
        <v>17</v>
      </c>
      <c r="BE11" s="1823" t="s">
        <v>200</v>
      </c>
      <c r="BF11" s="1880" t="s">
        <v>384</v>
      </c>
      <c r="BG11" s="2351">
        <v>11.96</v>
      </c>
      <c r="BH11" s="2185"/>
      <c r="BI11" s="2373">
        <v>7</v>
      </c>
      <c r="BJ11" s="1870" t="s">
        <v>9</v>
      </c>
      <c r="BK11" s="1832" t="s">
        <v>208</v>
      </c>
      <c r="BL11" s="1840">
        <v>298</v>
      </c>
      <c r="BM11" s="2290">
        <v>6.2</v>
      </c>
      <c r="BN11" s="1892"/>
      <c r="BO11" s="2278">
        <v>7</v>
      </c>
      <c r="BP11" s="764" t="s">
        <v>69</v>
      </c>
      <c r="BQ11" s="1868" t="s">
        <v>11</v>
      </c>
      <c r="BR11" s="1829" t="s">
        <v>209</v>
      </c>
      <c r="BS11" s="372" t="s">
        <v>15</v>
      </c>
      <c r="BT11" s="2296" t="s">
        <v>104</v>
      </c>
      <c r="BU11" s="2361">
        <v>11.02</v>
      </c>
      <c r="BV11" s="1786"/>
      <c r="BW11" s="1786"/>
      <c r="BX11" s="1780"/>
      <c r="BY11" s="1780"/>
      <c r="BZ11" s="1780"/>
      <c r="CA11" s="1780"/>
      <c r="CB11" s="1780"/>
      <c r="CC11" s="1780"/>
      <c r="CD11" s="1780"/>
      <c r="CE11" s="1780"/>
      <c r="CF11" s="1780"/>
      <c r="CG11" s="1780"/>
      <c r="CH11" s="1780"/>
      <c r="CI11" s="1780"/>
      <c r="CJ11" s="1780"/>
      <c r="CK11" s="1780"/>
      <c r="CL11" s="1780"/>
    </row>
    <row r="12" spans="1:90" ht="23" customHeight="1" x14ac:dyDescent="0.3">
      <c r="A12" s="13"/>
      <c r="B12" s="1818">
        <v>8</v>
      </c>
      <c r="C12" s="2189" t="s">
        <v>396</v>
      </c>
      <c r="D12" s="764" t="s">
        <v>106</v>
      </c>
      <c r="E12" s="764" t="s">
        <v>106</v>
      </c>
      <c r="F12" s="764" t="s">
        <v>106</v>
      </c>
      <c r="G12" s="764" t="s">
        <v>106</v>
      </c>
      <c r="H12" s="1819">
        <v>17.38</v>
      </c>
      <c r="I12" s="665"/>
      <c r="J12" s="1813"/>
      <c r="K12" s="753"/>
      <c r="L12" s="40"/>
      <c r="M12" s="14"/>
      <c r="N12" s="14"/>
      <c r="O12" s="14"/>
      <c r="P12" s="2185"/>
      <c r="Q12" s="2185"/>
      <c r="R12" s="1945">
        <v>8</v>
      </c>
      <c r="S12" s="440" t="s">
        <v>13</v>
      </c>
      <c r="T12" s="2260" t="s">
        <v>380</v>
      </c>
      <c r="U12" s="2270">
        <v>6.4</v>
      </c>
      <c r="V12" s="755"/>
      <c r="W12" s="2278">
        <v>8</v>
      </c>
      <c r="X12" s="764" t="s">
        <v>69</v>
      </c>
      <c r="Y12" s="1402" t="s">
        <v>10</v>
      </c>
      <c r="Z12" s="2249" t="s">
        <v>422</v>
      </c>
      <c r="AA12" s="1180" t="s">
        <v>14</v>
      </c>
      <c r="AB12" s="2251" t="s">
        <v>379</v>
      </c>
      <c r="AC12" s="1767">
        <v>11.92</v>
      </c>
      <c r="AD12" s="2185"/>
      <c r="AE12" s="1762">
        <v>8</v>
      </c>
      <c r="AF12" s="372" t="s">
        <v>15</v>
      </c>
      <c r="AG12" s="2296" t="s">
        <v>104</v>
      </c>
      <c r="AH12" s="2297">
        <v>145</v>
      </c>
      <c r="AI12" s="2334">
        <v>6.4</v>
      </c>
      <c r="AJ12" s="755"/>
      <c r="AK12" s="2278">
        <v>8</v>
      </c>
      <c r="AL12" s="765" t="s">
        <v>106</v>
      </c>
      <c r="AM12" s="1869" t="s">
        <v>10</v>
      </c>
      <c r="AN12" s="1828" t="s">
        <v>199</v>
      </c>
      <c r="AO12" s="387" t="s">
        <v>17</v>
      </c>
      <c r="AP12" s="1823" t="s">
        <v>200</v>
      </c>
      <c r="AQ12" s="2322">
        <v>12.71</v>
      </c>
      <c r="AR12" s="1842"/>
      <c r="AS12" s="1945">
        <v>8</v>
      </c>
      <c r="AT12" s="1867" t="s">
        <v>13</v>
      </c>
      <c r="AU12" s="1835" t="s">
        <v>200</v>
      </c>
      <c r="AV12" s="1877" t="s">
        <v>384</v>
      </c>
      <c r="AW12" s="2341">
        <v>6.6</v>
      </c>
      <c r="AX12" s="1858"/>
      <c r="AY12" s="2347">
        <v>8</v>
      </c>
      <c r="AZ12" s="771" t="s">
        <v>68</v>
      </c>
      <c r="BA12" s="1869" t="s">
        <v>10</v>
      </c>
      <c r="BB12" s="1828" t="s">
        <v>199</v>
      </c>
      <c r="BC12" s="1874" t="s">
        <v>422</v>
      </c>
      <c r="BD12" s="1868" t="s">
        <v>11</v>
      </c>
      <c r="BE12" s="1829" t="s">
        <v>195</v>
      </c>
      <c r="BF12" s="1876" t="s">
        <v>422</v>
      </c>
      <c r="BG12" s="2351">
        <v>12.24</v>
      </c>
      <c r="BH12" s="2185"/>
      <c r="BI12" s="1771">
        <v>8</v>
      </c>
      <c r="BJ12" s="718" t="s">
        <v>12</v>
      </c>
      <c r="BK12" s="1827" t="s">
        <v>208</v>
      </c>
      <c r="BL12" s="1895">
        <v>298</v>
      </c>
      <c r="BM12" s="2309">
        <v>6.8</v>
      </c>
      <c r="BN12" s="1892"/>
      <c r="BO12" s="2278">
        <v>8</v>
      </c>
      <c r="BP12" s="778" t="s">
        <v>105</v>
      </c>
      <c r="BQ12" s="1872" t="s">
        <v>14</v>
      </c>
      <c r="BR12" s="1830" t="s">
        <v>38</v>
      </c>
      <c r="BS12" s="372" t="s">
        <v>15</v>
      </c>
      <c r="BT12" s="2296" t="s">
        <v>104</v>
      </c>
      <c r="BU12" s="2361">
        <v>11.76</v>
      </c>
      <c r="BV12" s="1786"/>
      <c r="BW12" s="1786"/>
      <c r="BX12" s="1780"/>
      <c r="BY12" s="1780"/>
      <c r="BZ12" s="1780"/>
      <c r="CA12" s="1780"/>
      <c r="CB12" s="1780"/>
      <c r="CC12" s="1780"/>
      <c r="CD12" s="1780"/>
      <c r="CE12" s="1780"/>
      <c r="CF12" s="1780"/>
      <c r="CG12" s="1780"/>
      <c r="CH12" s="1780"/>
      <c r="CI12" s="1780"/>
      <c r="CJ12" s="1780"/>
      <c r="CK12" s="1780"/>
      <c r="CL12" s="1780"/>
    </row>
    <row r="13" spans="1:90" ht="23" customHeight="1" x14ac:dyDescent="0.3">
      <c r="A13" s="13"/>
      <c r="B13" s="1818">
        <v>9</v>
      </c>
      <c r="C13" s="2190" t="s">
        <v>130</v>
      </c>
      <c r="D13" s="771" t="s">
        <v>68</v>
      </c>
      <c r="E13" s="771" t="s">
        <v>68</v>
      </c>
      <c r="F13" s="771" t="s">
        <v>68</v>
      </c>
      <c r="G13" s="2195" t="s">
        <v>63</v>
      </c>
      <c r="H13" s="1819">
        <v>17.899999999999999</v>
      </c>
      <c r="I13" s="665"/>
      <c r="J13" s="753"/>
      <c r="K13" s="753"/>
      <c r="L13" s="40"/>
      <c r="M13" s="14"/>
      <c r="N13" s="14"/>
      <c r="O13" s="14"/>
      <c r="P13" s="2185"/>
      <c r="Q13" s="2185"/>
      <c r="R13" s="1762">
        <v>9</v>
      </c>
      <c r="S13" s="372" t="s">
        <v>15</v>
      </c>
      <c r="T13" s="1332" t="s">
        <v>423</v>
      </c>
      <c r="U13" s="2271">
        <v>6.4</v>
      </c>
      <c r="V13" s="755"/>
      <c r="W13" s="2278">
        <v>9</v>
      </c>
      <c r="X13" s="764" t="s">
        <v>69</v>
      </c>
      <c r="Y13" s="2193" t="s">
        <v>9</v>
      </c>
      <c r="Z13" s="2256" t="s">
        <v>381</v>
      </c>
      <c r="AA13" s="2238" t="s">
        <v>23</v>
      </c>
      <c r="AB13" s="2255" t="s">
        <v>422</v>
      </c>
      <c r="AC13" s="1767">
        <v>12.67</v>
      </c>
      <c r="AD13" s="2185"/>
      <c r="AE13" s="2312">
        <v>9</v>
      </c>
      <c r="AF13" s="2298" t="s">
        <v>9</v>
      </c>
      <c r="AG13" s="2299" t="s">
        <v>209</v>
      </c>
      <c r="AH13" s="2300">
        <v>301</v>
      </c>
      <c r="AI13" s="2335">
        <v>7.2</v>
      </c>
      <c r="AJ13" s="755"/>
      <c r="AK13" s="2278">
        <v>9</v>
      </c>
      <c r="AL13" s="777" t="s">
        <v>107</v>
      </c>
      <c r="AM13" s="372" t="s">
        <v>15</v>
      </c>
      <c r="AN13" s="2296" t="s">
        <v>104</v>
      </c>
      <c r="AO13" s="2293" t="s">
        <v>16</v>
      </c>
      <c r="AP13" s="2294" t="s">
        <v>195</v>
      </c>
      <c r="AQ13" s="2321">
        <v>12.72</v>
      </c>
      <c r="AR13" s="1845"/>
      <c r="AS13" s="2312">
        <v>9</v>
      </c>
      <c r="AT13" s="2298" t="s">
        <v>9</v>
      </c>
      <c r="AU13" s="2299" t="s">
        <v>208</v>
      </c>
      <c r="AV13" s="2339" t="s">
        <v>377</v>
      </c>
      <c r="AW13" s="2335">
        <v>7.2</v>
      </c>
      <c r="AX13" s="1855"/>
      <c r="AY13" s="2347">
        <v>9</v>
      </c>
      <c r="AZ13" s="764" t="s">
        <v>69</v>
      </c>
      <c r="BA13" s="1872" t="s">
        <v>14</v>
      </c>
      <c r="BB13" s="1830" t="s">
        <v>38</v>
      </c>
      <c r="BC13" s="1879" t="s">
        <v>379</v>
      </c>
      <c r="BD13" s="2293" t="s">
        <v>16</v>
      </c>
      <c r="BE13" s="2294" t="s">
        <v>195</v>
      </c>
      <c r="BF13" s="2337" t="s">
        <v>422</v>
      </c>
      <c r="BG13" s="2351">
        <v>12.76</v>
      </c>
      <c r="BH13" s="2185"/>
      <c r="BI13" s="1946">
        <v>9</v>
      </c>
      <c r="BJ13" s="387" t="s">
        <v>17</v>
      </c>
      <c r="BK13" s="1823" t="s">
        <v>200</v>
      </c>
      <c r="BL13" s="1839">
        <v>192</v>
      </c>
      <c r="BM13" s="1765">
        <v>7.2</v>
      </c>
      <c r="BN13" s="1892"/>
      <c r="BO13" s="2278">
        <v>9</v>
      </c>
      <c r="BP13" s="764" t="s">
        <v>69</v>
      </c>
      <c r="BQ13" s="1870" t="s">
        <v>9</v>
      </c>
      <c r="BR13" s="1832" t="s">
        <v>208</v>
      </c>
      <c r="BS13" s="1871" t="s">
        <v>18</v>
      </c>
      <c r="BT13" s="1833" t="s">
        <v>104</v>
      </c>
      <c r="BU13" s="2361">
        <v>12.01</v>
      </c>
      <c r="BV13" s="1786"/>
      <c r="BW13" s="1786"/>
      <c r="BX13" s="1780"/>
      <c r="BY13" s="1780"/>
      <c r="BZ13" s="1780"/>
      <c r="CA13" s="1780"/>
      <c r="CB13" s="1780"/>
      <c r="CC13" s="1780"/>
      <c r="CD13" s="1780"/>
      <c r="CE13" s="1780"/>
      <c r="CF13" s="1780"/>
      <c r="CG13" s="1780"/>
      <c r="CH13" s="1780"/>
      <c r="CI13" s="1780"/>
      <c r="CJ13" s="1780"/>
      <c r="CK13" s="1780"/>
      <c r="CL13" s="1780"/>
    </row>
    <row r="14" spans="1:90" ht="23" customHeight="1" x14ac:dyDescent="0.3">
      <c r="A14" s="13"/>
      <c r="B14" s="1818">
        <v>10</v>
      </c>
      <c r="C14" s="2189" t="s">
        <v>399</v>
      </c>
      <c r="D14" s="764" t="s">
        <v>113</v>
      </c>
      <c r="E14" s="777" t="s">
        <v>107</v>
      </c>
      <c r="F14" s="777" t="s">
        <v>107</v>
      </c>
      <c r="G14" s="764" t="s">
        <v>69</v>
      </c>
      <c r="H14" s="1819">
        <v>17.95</v>
      </c>
      <c r="I14" s="665"/>
      <c r="J14" s="637"/>
      <c r="K14" s="753"/>
      <c r="L14" s="40"/>
      <c r="M14" s="14"/>
      <c r="N14" s="14"/>
      <c r="O14" s="14"/>
      <c r="P14" s="2185"/>
      <c r="Q14" s="2185"/>
      <c r="R14" s="2093">
        <v>10</v>
      </c>
      <c r="S14" s="1947" t="s">
        <v>14</v>
      </c>
      <c r="T14" s="2272" t="s">
        <v>379</v>
      </c>
      <c r="U14" s="2273">
        <v>7</v>
      </c>
      <c r="V14" s="755"/>
      <c r="W14" s="2278">
        <v>10</v>
      </c>
      <c r="X14" s="771" t="s">
        <v>68</v>
      </c>
      <c r="Y14" s="2238" t="s">
        <v>23</v>
      </c>
      <c r="Z14" s="2255" t="s">
        <v>422</v>
      </c>
      <c r="AA14" s="1409" t="s">
        <v>18</v>
      </c>
      <c r="AB14" s="2250" t="s">
        <v>423</v>
      </c>
      <c r="AC14" s="1767">
        <v>12.96</v>
      </c>
      <c r="AD14" s="2185"/>
      <c r="AE14" s="2313">
        <v>10</v>
      </c>
      <c r="AF14" s="2314" t="s">
        <v>13</v>
      </c>
      <c r="AG14" s="2315" t="s">
        <v>200</v>
      </c>
      <c r="AH14" s="2316">
        <v>182</v>
      </c>
      <c r="AI14" s="2336">
        <v>7.4</v>
      </c>
      <c r="AJ14" s="755"/>
      <c r="AK14" s="2278">
        <v>10</v>
      </c>
      <c r="AL14" s="771" t="s">
        <v>68</v>
      </c>
      <c r="AM14" s="1867" t="s">
        <v>13</v>
      </c>
      <c r="AN14" s="1835" t="s">
        <v>200</v>
      </c>
      <c r="AO14" s="387" t="s">
        <v>17</v>
      </c>
      <c r="AP14" s="1823" t="s">
        <v>200</v>
      </c>
      <c r="AQ14" s="2322">
        <v>13.65</v>
      </c>
      <c r="AR14" s="1842"/>
      <c r="AS14" s="2342">
        <v>10</v>
      </c>
      <c r="AT14" s="2343" t="s">
        <v>14</v>
      </c>
      <c r="AU14" s="2292" t="s">
        <v>38</v>
      </c>
      <c r="AV14" s="2344" t="s">
        <v>379</v>
      </c>
      <c r="AW14" s="2345">
        <v>7.4</v>
      </c>
      <c r="AX14" s="1859"/>
      <c r="AY14" s="2347">
        <v>10</v>
      </c>
      <c r="AZ14" s="765" t="s">
        <v>113</v>
      </c>
      <c r="BA14" s="1868" t="s">
        <v>11</v>
      </c>
      <c r="BB14" s="1829" t="s">
        <v>195</v>
      </c>
      <c r="BC14" s="1876" t="s">
        <v>422</v>
      </c>
      <c r="BD14" s="1871" t="s">
        <v>18</v>
      </c>
      <c r="BE14" s="1833" t="s">
        <v>104</v>
      </c>
      <c r="BF14" s="1878" t="s">
        <v>376</v>
      </c>
      <c r="BG14" s="2351">
        <v>12.96</v>
      </c>
      <c r="BH14" s="2185"/>
      <c r="BI14" s="2374">
        <v>10</v>
      </c>
      <c r="BJ14" s="2314" t="s">
        <v>13</v>
      </c>
      <c r="BK14" s="2315" t="s">
        <v>201</v>
      </c>
      <c r="BL14" s="2316">
        <v>217</v>
      </c>
      <c r="BM14" s="2317">
        <v>7.4</v>
      </c>
      <c r="BN14" s="1892"/>
      <c r="BO14" s="2278">
        <v>10</v>
      </c>
      <c r="BP14" s="777" t="s">
        <v>107</v>
      </c>
      <c r="BQ14" s="1869" t="s">
        <v>10</v>
      </c>
      <c r="BR14" s="1828" t="s">
        <v>193</v>
      </c>
      <c r="BS14" s="1868" t="s">
        <v>11</v>
      </c>
      <c r="BT14" s="1829" t="s">
        <v>209</v>
      </c>
      <c r="BU14" s="2361">
        <v>12.67</v>
      </c>
      <c r="BV14" s="1786"/>
      <c r="BW14" s="1786"/>
      <c r="BX14" s="1780"/>
      <c r="BY14" s="1780"/>
      <c r="BZ14" s="1780"/>
      <c r="CA14" s="1780"/>
      <c r="CB14" s="1780"/>
      <c r="CC14" s="1780"/>
      <c r="CD14" s="1780"/>
      <c r="CE14" s="1780"/>
      <c r="CF14" s="1780"/>
      <c r="CG14" s="1780"/>
      <c r="CH14" s="1780"/>
      <c r="CI14" s="1780"/>
      <c r="CJ14" s="1780"/>
      <c r="CK14" s="1780"/>
      <c r="CL14" s="1780"/>
    </row>
    <row r="15" spans="1:90" ht="23" customHeight="1" x14ac:dyDescent="0.3">
      <c r="A15" s="13"/>
      <c r="B15" s="1818">
        <v>11</v>
      </c>
      <c r="C15" s="2189" t="s">
        <v>398</v>
      </c>
      <c r="D15" s="764" t="s">
        <v>113</v>
      </c>
      <c r="E15" s="2195" t="s">
        <v>63</v>
      </c>
      <c r="F15" s="764" t="s">
        <v>113</v>
      </c>
      <c r="G15" s="764" t="s">
        <v>69</v>
      </c>
      <c r="H15" s="1819">
        <v>18.149999999999999</v>
      </c>
      <c r="I15" s="665"/>
      <c r="J15" s="2843" t="s">
        <v>421</v>
      </c>
      <c r="K15" s="2843"/>
      <c r="L15" s="2843"/>
      <c r="M15" s="2843"/>
      <c r="N15" s="2843"/>
      <c r="O15" s="2843"/>
      <c r="P15" s="2843"/>
      <c r="Q15" s="2185"/>
      <c r="V15" s="2185"/>
      <c r="W15" s="2278">
        <v>11</v>
      </c>
      <c r="X15" s="771" t="s">
        <v>68</v>
      </c>
      <c r="Y15" s="2192" t="s">
        <v>13</v>
      </c>
      <c r="Z15" s="2260" t="s">
        <v>380</v>
      </c>
      <c r="AA15" s="387" t="s">
        <v>17</v>
      </c>
      <c r="AB15" s="2259" t="s">
        <v>378</v>
      </c>
      <c r="AC15" s="1767">
        <v>13.17</v>
      </c>
      <c r="AD15" s="2185"/>
      <c r="AE15" s="2185"/>
      <c r="AF15" s="2185"/>
      <c r="AG15" s="40"/>
      <c r="AH15" s="40"/>
      <c r="AI15" s="2185"/>
      <c r="AJ15" s="2185"/>
      <c r="AK15" s="2278">
        <v>11</v>
      </c>
      <c r="AL15" s="765" t="s">
        <v>113</v>
      </c>
      <c r="AM15" s="1867" t="s">
        <v>13</v>
      </c>
      <c r="AN15" s="1835" t="s">
        <v>200</v>
      </c>
      <c r="AO15" s="1871" t="s">
        <v>18</v>
      </c>
      <c r="AP15" s="1833" t="s">
        <v>104</v>
      </c>
      <c r="AQ15" s="2322">
        <v>13.78</v>
      </c>
      <c r="AR15" s="1845"/>
      <c r="AS15" s="2185"/>
      <c r="AT15" s="756"/>
      <c r="AU15" s="757"/>
      <c r="AV15" s="760"/>
      <c r="AW15" s="761"/>
      <c r="AX15" s="1853"/>
      <c r="AY15" s="2347">
        <v>11</v>
      </c>
      <c r="AZ15" s="765" t="s">
        <v>113</v>
      </c>
      <c r="BA15" s="1869" t="s">
        <v>10</v>
      </c>
      <c r="BB15" s="1828" t="s">
        <v>199</v>
      </c>
      <c r="BC15" s="1874" t="s">
        <v>422</v>
      </c>
      <c r="BD15" s="372" t="s">
        <v>15</v>
      </c>
      <c r="BE15" s="2296" t="s">
        <v>104</v>
      </c>
      <c r="BF15" s="2338" t="s">
        <v>376</v>
      </c>
      <c r="BG15" s="2351">
        <v>12.96</v>
      </c>
      <c r="BH15" s="2185"/>
      <c r="BI15" s="2185"/>
      <c r="BJ15" s="2185"/>
      <c r="BK15" s="40"/>
      <c r="BL15" s="2185"/>
      <c r="BM15" s="2185"/>
      <c r="BN15" s="1851"/>
      <c r="BO15" s="2278">
        <v>11</v>
      </c>
      <c r="BP15" s="764" t="s">
        <v>69</v>
      </c>
      <c r="BQ15" s="2353" t="s">
        <v>12</v>
      </c>
      <c r="BR15" s="1827" t="s">
        <v>208</v>
      </c>
      <c r="BS15" s="1871" t="s">
        <v>18</v>
      </c>
      <c r="BT15" s="1833" t="s">
        <v>104</v>
      </c>
      <c r="BU15" s="2361">
        <v>12.74</v>
      </c>
      <c r="BV15" s="1786"/>
      <c r="BW15" s="1786"/>
      <c r="BX15" s="1780"/>
      <c r="BY15" s="1780"/>
      <c r="BZ15" s="1780"/>
      <c r="CA15" s="1780"/>
      <c r="CB15" s="1780"/>
      <c r="CC15" s="1780"/>
      <c r="CD15" s="1780"/>
      <c r="CE15" s="1780"/>
      <c r="CF15" s="1780"/>
      <c r="CG15" s="1780"/>
      <c r="CH15" s="1780"/>
      <c r="CI15" s="1780"/>
      <c r="CJ15" s="1780"/>
      <c r="CK15" s="1780"/>
      <c r="CL15" s="1780"/>
    </row>
    <row r="16" spans="1:90" ht="23" customHeight="1" x14ac:dyDescent="0.3">
      <c r="A16" s="13"/>
      <c r="B16" s="1818">
        <v>12</v>
      </c>
      <c r="C16" s="2201" t="s">
        <v>109</v>
      </c>
      <c r="D16" s="764" t="s">
        <v>113</v>
      </c>
      <c r="E16" s="764" t="s">
        <v>113</v>
      </c>
      <c r="F16" s="764" t="s">
        <v>113</v>
      </c>
      <c r="G16" s="764" t="s">
        <v>106</v>
      </c>
      <c r="H16" s="1819">
        <v>18.38</v>
      </c>
      <c r="I16" s="665"/>
      <c r="J16" s="1741" t="s">
        <v>40</v>
      </c>
      <c r="K16" s="2208" t="s">
        <v>53</v>
      </c>
      <c r="L16" s="1743" t="s">
        <v>44</v>
      </c>
      <c r="M16" s="1743" t="s">
        <v>42</v>
      </c>
      <c r="N16" s="1743" t="s">
        <v>40</v>
      </c>
      <c r="O16" s="1743" t="s">
        <v>38</v>
      </c>
      <c r="P16" s="2209" t="s">
        <v>411</v>
      </c>
      <c r="Q16" s="2232"/>
      <c r="V16" s="2185"/>
      <c r="W16" s="2278">
        <v>12</v>
      </c>
      <c r="X16" s="765" t="s">
        <v>113</v>
      </c>
      <c r="Y16" s="542" t="s">
        <v>11</v>
      </c>
      <c r="Z16" s="2254" t="s">
        <v>38</v>
      </c>
      <c r="AA16" s="1409" t="s">
        <v>18</v>
      </c>
      <c r="AB16" s="2250" t="s">
        <v>423</v>
      </c>
      <c r="AC16" s="1767">
        <v>13.25</v>
      </c>
      <c r="AD16" s="2185"/>
      <c r="AE16" s="2185"/>
      <c r="AF16" s="2185"/>
      <c r="AG16" s="40"/>
      <c r="AH16" s="40"/>
      <c r="AI16" s="2185"/>
      <c r="AJ16" s="2185"/>
      <c r="AK16" s="2278">
        <v>12</v>
      </c>
      <c r="AL16" s="764" t="s">
        <v>69</v>
      </c>
      <c r="AM16" s="2298" t="s">
        <v>9</v>
      </c>
      <c r="AN16" s="2299" t="s">
        <v>209</v>
      </c>
      <c r="AO16" s="405" t="s">
        <v>23</v>
      </c>
      <c r="AP16" s="1827" t="s">
        <v>104</v>
      </c>
      <c r="AQ16" s="2322">
        <v>13.98</v>
      </c>
      <c r="AR16" s="1845"/>
      <c r="AS16" s="2185"/>
      <c r="AT16" s="756"/>
      <c r="AU16" s="766"/>
      <c r="AV16" s="767"/>
      <c r="AW16" s="768"/>
      <c r="AX16" s="1854"/>
      <c r="AY16" s="2347">
        <v>12</v>
      </c>
      <c r="AZ16" s="771" t="s">
        <v>68</v>
      </c>
      <c r="BA16" s="1867" t="s">
        <v>13</v>
      </c>
      <c r="BB16" s="1835" t="s">
        <v>200</v>
      </c>
      <c r="BC16" s="1877" t="s">
        <v>384</v>
      </c>
      <c r="BD16" s="387" t="s">
        <v>17</v>
      </c>
      <c r="BE16" s="1823" t="s">
        <v>200</v>
      </c>
      <c r="BF16" s="1880" t="s">
        <v>384</v>
      </c>
      <c r="BG16" s="2351">
        <v>13.09</v>
      </c>
      <c r="BH16" s="2185"/>
      <c r="BI16" s="2185"/>
      <c r="BJ16" s="2185"/>
      <c r="BK16" s="40"/>
      <c r="BL16" s="2185"/>
      <c r="BM16" s="2185"/>
      <c r="BN16" s="1851"/>
      <c r="BO16" s="2278">
        <v>12</v>
      </c>
      <c r="BP16" s="2354" t="s">
        <v>68</v>
      </c>
      <c r="BQ16" s="2355" t="s">
        <v>12</v>
      </c>
      <c r="BR16" s="2356" t="s">
        <v>208</v>
      </c>
      <c r="BS16" s="2357" t="s">
        <v>9</v>
      </c>
      <c r="BT16" s="2358" t="s">
        <v>208</v>
      </c>
      <c r="BU16" s="2362">
        <v>13.35</v>
      </c>
      <c r="BV16" s="1780"/>
      <c r="BW16" s="1786"/>
      <c r="BX16" s="1780"/>
      <c r="BY16" s="1780"/>
      <c r="BZ16" s="1780"/>
      <c r="CA16" s="1780"/>
      <c r="CB16" s="1780"/>
      <c r="CC16" s="1780"/>
      <c r="CD16" s="1780"/>
      <c r="CE16" s="1780"/>
      <c r="CF16" s="1780"/>
      <c r="CG16" s="1780"/>
      <c r="CH16" s="1780"/>
      <c r="CI16" s="1780"/>
      <c r="CJ16" s="1780"/>
      <c r="CK16" s="1780"/>
      <c r="CL16" s="1780"/>
    </row>
    <row r="17" spans="1:90" ht="23" customHeight="1" x14ac:dyDescent="0.3">
      <c r="A17" s="13"/>
      <c r="B17" s="1818">
        <v>13</v>
      </c>
      <c r="C17" s="2189" t="s">
        <v>402</v>
      </c>
      <c r="D17" s="771" t="s">
        <v>68</v>
      </c>
      <c r="E17" s="771" t="s">
        <v>68</v>
      </c>
      <c r="F17" s="771" t="s">
        <v>68</v>
      </c>
      <c r="G17" s="2195" t="s">
        <v>63</v>
      </c>
      <c r="H17" s="2194">
        <v>18.43</v>
      </c>
      <c r="I17" s="2197"/>
      <c r="J17" s="2239">
        <v>1</v>
      </c>
      <c r="K17" s="2097" t="s">
        <v>10</v>
      </c>
      <c r="L17" s="2101">
        <v>2.2000000000000002</v>
      </c>
      <c r="M17" s="2101">
        <v>5.2</v>
      </c>
      <c r="N17" s="2101">
        <v>4.2</v>
      </c>
      <c r="O17" s="2101">
        <v>5</v>
      </c>
      <c r="P17" s="2210">
        <f t="shared" ref="P17:P26" si="0">(O17+N17+M17+L17)/4</f>
        <v>4.1499999999999995</v>
      </c>
      <c r="Q17" s="2222"/>
      <c r="V17" s="2185"/>
      <c r="W17" s="2278">
        <v>13</v>
      </c>
      <c r="X17" s="764" t="s">
        <v>69</v>
      </c>
      <c r="Y17" s="542" t="s">
        <v>11</v>
      </c>
      <c r="Z17" s="2254" t="s">
        <v>38</v>
      </c>
      <c r="AA17" s="1180" t="s">
        <v>14</v>
      </c>
      <c r="AB17" s="2251" t="s">
        <v>379</v>
      </c>
      <c r="AC17" s="1767">
        <v>13.3</v>
      </c>
      <c r="AD17" s="2185"/>
      <c r="AE17" s="2185"/>
      <c r="AF17" s="2185"/>
      <c r="AG17" s="40"/>
      <c r="AH17" s="40"/>
      <c r="AI17" s="2185"/>
      <c r="AJ17" s="2185"/>
      <c r="AK17" s="2278">
        <v>13</v>
      </c>
      <c r="AL17" s="771" t="s">
        <v>68</v>
      </c>
      <c r="AM17" s="1869" t="s">
        <v>10</v>
      </c>
      <c r="AN17" s="1828" t="s">
        <v>199</v>
      </c>
      <c r="AO17" s="1868" t="s">
        <v>11</v>
      </c>
      <c r="AP17" s="1829" t="s">
        <v>195</v>
      </c>
      <c r="AQ17" s="2321">
        <v>14.03</v>
      </c>
      <c r="AR17" s="1845"/>
      <c r="AS17" s="2185"/>
      <c r="AT17" s="756"/>
      <c r="AU17" s="757"/>
      <c r="AV17" s="767"/>
      <c r="AW17" s="768"/>
      <c r="AX17" s="1854"/>
      <c r="AY17" s="2347">
        <v>13</v>
      </c>
      <c r="AZ17" s="765" t="s">
        <v>106</v>
      </c>
      <c r="BA17" s="1867" t="s">
        <v>13</v>
      </c>
      <c r="BB17" s="1835" t="s">
        <v>200</v>
      </c>
      <c r="BC17" s="1877" t="s">
        <v>384</v>
      </c>
      <c r="BD17" s="2293" t="s">
        <v>16</v>
      </c>
      <c r="BE17" s="2294" t="s">
        <v>195</v>
      </c>
      <c r="BF17" s="2337" t="s">
        <v>422</v>
      </c>
      <c r="BG17" s="2351">
        <v>13.21</v>
      </c>
      <c r="BH17" s="2185"/>
      <c r="BI17" s="2185"/>
      <c r="BJ17" s="2185"/>
      <c r="BK17" s="40"/>
      <c r="BL17" s="2185"/>
      <c r="BM17" s="2185"/>
      <c r="BN17" s="1851"/>
      <c r="BO17" s="2278">
        <v>13</v>
      </c>
      <c r="BP17" s="765" t="s">
        <v>113</v>
      </c>
      <c r="BQ17" s="372" t="s">
        <v>15</v>
      </c>
      <c r="BR17" s="2296" t="s">
        <v>104</v>
      </c>
      <c r="BS17" s="387" t="s">
        <v>17</v>
      </c>
      <c r="BT17" s="1823" t="s">
        <v>200</v>
      </c>
      <c r="BU17" s="2361">
        <v>13.44</v>
      </c>
      <c r="BV17" s="1780"/>
      <c r="BW17" s="1786"/>
      <c r="BX17" s="1780"/>
      <c r="BY17" s="1780"/>
      <c r="BZ17" s="1780"/>
      <c r="CA17" s="1780"/>
      <c r="CB17" s="1780"/>
      <c r="CC17" s="1780"/>
      <c r="CD17" s="1780"/>
      <c r="CE17" s="1780"/>
      <c r="CF17" s="1780"/>
      <c r="CG17" s="1780"/>
      <c r="CH17" s="1780"/>
      <c r="CI17" s="1780"/>
      <c r="CJ17" s="1780"/>
      <c r="CK17" s="1780"/>
      <c r="CL17" s="1780"/>
    </row>
    <row r="18" spans="1:90" ht="23" customHeight="1" x14ac:dyDescent="0.3">
      <c r="A18" s="13"/>
      <c r="B18" s="1818">
        <v>14</v>
      </c>
      <c r="C18" s="2189" t="s">
        <v>401</v>
      </c>
      <c r="D18" s="764" t="s">
        <v>69</v>
      </c>
      <c r="E18" s="764" t="s">
        <v>69</v>
      </c>
      <c r="F18" s="764" t="s">
        <v>69</v>
      </c>
      <c r="G18" s="764" t="s">
        <v>113</v>
      </c>
      <c r="H18" s="1819">
        <v>19.09</v>
      </c>
      <c r="I18" s="665"/>
      <c r="J18" s="2240">
        <v>2</v>
      </c>
      <c r="K18" s="620" t="s">
        <v>18</v>
      </c>
      <c r="L18" s="621">
        <v>6</v>
      </c>
      <c r="M18" s="621">
        <v>3.2</v>
      </c>
      <c r="N18" s="621">
        <v>3.8</v>
      </c>
      <c r="O18" s="621">
        <v>3.6</v>
      </c>
      <c r="P18" s="2211">
        <f t="shared" si="0"/>
        <v>4.1500000000000004</v>
      </c>
      <c r="Q18" s="2223"/>
      <c r="V18" s="2185"/>
      <c r="W18" s="2278">
        <v>14</v>
      </c>
      <c r="X18" s="765" t="s">
        <v>106</v>
      </c>
      <c r="Y18" s="542" t="s">
        <v>11</v>
      </c>
      <c r="Z18" s="2254" t="s">
        <v>38</v>
      </c>
      <c r="AA18" s="2192" t="s">
        <v>13</v>
      </c>
      <c r="AB18" s="2260" t="s">
        <v>380</v>
      </c>
      <c r="AC18" s="1767">
        <v>13.44</v>
      </c>
      <c r="AD18" s="2185"/>
      <c r="AE18" s="2185"/>
      <c r="AF18" s="2185"/>
      <c r="AG18" s="40"/>
      <c r="AH18" s="40"/>
      <c r="AI18" s="2185"/>
      <c r="AJ18" s="2185"/>
      <c r="AK18" s="2278">
        <v>14</v>
      </c>
      <c r="AL18" s="777" t="s">
        <v>107</v>
      </c>
      <c r="AM18" s="1868" t="s">
        <v>11</v>
      </c>
      <c r="AN18" s="1829" t="s">
        <v>195</v>
      </c>
      <c r="AO18" s="372" t="s">
        <v>15</v>
      </c>
      <c r="AP18" s="2296" t="s">
        <v>104</v>
      </c>
      <c r="AQ18" s="2322">
        <v>14.03</v>
      </c>
      <c r="AR18" s="1845"/>
      <c r="AS18" s="2185"/>
      <c r="AT18" s="756"/>
      <c r="AU18" s="757"/>
      <c r="AV18" s="760"/>
      <c r="AW18" s="761"/>
      <c r="AX18" s="1853"/>
      <c r="AY18" s="2347">
        <v>14</v>
      </c>
      <c r="AZ18" s="764" t="s">
        <v>69</v>
      </c>
      <c r="BA18" s="2298" t="s">
        <v>9</v>
      </c>
      <c r="BB18" s="2299" t="s">
        <v>208</v>
      </c>
      <c r="BC18" s="2339" t="s">
        <v>377</v>
      </c>
      <c r="BD18" s="405" t="s">
        <v>23</v>
      </c>
      <c r="BE18" s="1827" t="s">
        <v>199</v>
      </c>
      <c r="BF18" s="1875" t="s">
        <v>38</v>
      </c>
      <c r="BG18" s="2351">
        <v>13.3</v>
      </c>
      <c r="BH18" s="2185"/>
      <c r="BI18" s="2185"/>
      <c r="BJ18" s="2185"/>
      <c r="BK18" s="40"/>
      <c r="BL18" s="2185"/>
      <c r="BM18" s="2185"/>
      <c r="BN18" s="1851"/>
      <c r="BO18" s="2278">
        <v>14</v>
      </c>
      <c r="BP18" s="777" t="s">
        <v>107</v>
      </c>
      <c r="BQ18" s="387" t="s">
        <v>17</v>
      </c>
      <c r="BR18" s="1823" t="s">
        <v>200</v>
      </c>
      <c r="BS18" s="1871" t="s">
        <v>18</v>
      </c>
      <c r="BT18" s="1833" t="s">
        <v>104</v>
      </c>
      <c r="BU18" s="2361">
        <v>13.75</v>
      </c>
      <c r="BV18" s="1780"/>
      <c r="BW18" s="1786"/>
      <c r="BX18" s="1780"/>
      <c r="BY18" s="1780"/>
      <c r="BZ18" s="1780"/>
      <c r="CA18" s="1780"/>
      <c r="CB18" s="1780"/>
      <c r="CC18" s="1780"/>
      <c r="CD18" s="1780"/>
      <c r="CE18" s="1780"/>
      <c r="CF18" s="1780"/>
      <c r="CG18" s="1780"/>
      <c r="CH18" s="1780"/>
      <c r="CI18" s="1780"/>
      <c r="CJ18" s="1780"/>
      <c r="CK18" s="1780"/>
      <c r="CL18" s="1780"/>
    </row>
    <row r="19" spans="1:90" ht="23" customHeight="1" x14ac:dyDescent="0.3">
      <c r="A19" s="13"/>
      <c r="B19" s="1818">
        <v>15</v>
      </c>
      <c r="C19" s="2187" t="s">
        <v>138</v>
      </c>
      <c r="D19" s="764" t="s">
        <v>113</v>
      </c>
      <c r="E19" s="777" t="s">
        <v>107</v>
      </c>
      <c r="F19" s="2195" t="s">
        <v>63</v>
      </c>
      <c r="G19" s="777" t="s">
        <v>107</v>
      </c>
      <c r="H19" s="1819">
        <v>19.350000000000001</v>
      </c>
      <c r="I19" s="665"/>
      <c r="J19" s="2241">
        <v>3</v>
      </c>
      <c r="K19" s="672" t="s">
        <v>16</v>
      </c>
      <c r="L19" s="673">
        <v>5.6</v>
      </c>
      <c r="M19" s="673">
        <v>3.2</v>
      </c>
      <c r="N19" s="673">
        <v>4.2</v>
      </c>
      <c r="O19" s="673">
        <v>3.8</v>
      </c>
      <c r="P19" s="2212">
        <f t="shared" si="0"/>
        <v>4.1999999999999993</v>
      </c>
      <c r="Q19" s="2224"/>
      <c r="V19" s="2185"/>
      <c r="W19" s="2278">
        <v>15</v>
      </c>
      <c r="X19" s="771" t="s">
        <v>68</v>
      </c>
      <c r="Y19" s="2238" t="s">
        <v>23</v>
      </c>
      <c r="Z19" s="2255" t="s">
        <v>422</v>
      </c>
      <c r="AA19" s="372" t="s">
        <v>15</v>
      </c>
      <c r="AB19" s="1332" t="s">
        <v>423</v>
      </c>
      <c r="AC19" s="1767">
        <v>13.44</v>
      </c>
      <c r="AD19" s="2185"/>
      <c r="AE19" s="2185"/>
      <c r="AF19" s="2185"/>
      <c r="AG19" s="40"/>
      <c r="AH19" s="40"/>
      <c r="AI19" s="2185"/>
      <c r="AJ19" s="2185"/>
      <c r="AK19" s="2278">
        <v>15</v>
      </c>
      <c r="AL19" s="765" t="s">
        <v>113</v>
      </c>
      <c r="AM19" s="1869" t="s">
        <v>10</v>
      </c>
      <c r="AN19" s="1828" t="s">
        <v>199</v>
      </c>
      <c r="AO19" s="372" t="s">
        <v>15</v>
      </c>
      <c r="AP19" s="2296" t="s">
        <v>104</v>
      </c>
      <c r="AQ19" s="2322">
        <v>14.79</v>
      </c>
      <c r="AR19" s="1842"/>
      <c r="AS19" s="2185"/>
      <c r="AT19" s="756"/>
      <c r="AU19" s="762"/>
      <c r="AV19" s="779"/>
      <c r="AW19" s="795"/>
      <c r="AX19" s="1860"/>
      <c r="AY19" s="2347">
        <v>15</v>
      </c>
      <c r="AZ19" s="764" t="s">
        <v>69</v>
      </c>
      <c r="BA19" s="2298" t="s">
        <v>9</v>
      </c>
      <c r="BB19" s="2299" t="s">
        <v>208</v>
      </c>
      <c r="BC19" s="2339" t="s">
        <v>377</v>
      </c>
      <c r="BD19" s="1871" t="s">
        <v>18</v>
      </c>
      <c r="BE19" s="1833" t="s">
        <v>104</v>
      </c>
      <c r="BF19" s="1878" t="s">
        <v>376</v>
      </c>
      <c r="BG19" s="2351">
        <v>13.48</v>
      </c>
      <c r="BH19" s="2185"/>
      <c r="BI19" s="2185"/>
      <c r="BJ19" s="2185"/>
      <c r="BK19" s="40"/>
      <c r="BL19" s="2185"/>
      <c r="BM19" s="2185"/>
      <c r="BN19" s="1851"/>
      <c r="BO19" s="2278">
        <v>15</v>
      </c>
      <c r="BP19" s="765" t="s">
        <v>106</v>
      </c>
      <c r="BQ19" s="1867" t="s">
        <v>13</v>
      </c>
      <c r="BR19" s="1835" t="s">
        <v>201</v>
      </c>
      <c r="BS19" s="1871" t="s">
        <v>18</v>
      </c>
      <c r="BT19" s="1833" t="s">
        <v>104</v>
      </c>
      <c r="BU19" s="2361">
        <v>14.03</v>
      </c>
      <c r="BV19" s="1780"/>
      <c r="BW19" s="1786"/>
      <c r="BX19" s="1780"/>
      <c r="BY19" s="1780"/>
      <c r="BZ19" s="1780"/>
      <c r="CA19" s="1780"/>
      <c r="CB19" s="1780"/>
      <c r="CC19" s="1780"/>
      <c r="CD19" s="1780"/>
      <c r="CE19" s="1780"/>
      <c r="CF19" s="1780"/>
      <c r="CG19" s="1780"/>
      <c r="CH19" s="1780"/>
      <c r="CI19" s="1780"/>
      <c r="CJ19" s="1780"/>
      <c r="CK19" s="1780"/>
      <c r="CL19" s="1780"/>
    </row>
    <row r="20" spans="1:90" ht="23" customHeight="1" x14ac:dyDescent="0.3">
      <c r="A20" s="13"/>
      <c r="B20" s="1818">
        <v>16</v>
      </c>
      <c r="C20" s="1418" t="s">
        <v>419</v>
      </c>
      <c r="D20" s="777" t="s">
        <v>107</v>
      </c>
      <c r="E20" s="777" t="s">
        <v>107</v>
      </c>
      <c r="F20" s="777" t="s">
        <v>107</v>
      </c>
      <c r="G20" s="764" t="s">
        <v>106</v>
      </c>
      <c r="H20" s="1819">
        <v>19.41</v>
      </c>
      <c r="I20" s="665"/>
      <c r="J20" s="2242">
        <v>4</v>
      </c>
      <c r="K20" s="659" t="s">
        <v>11</v>
      </c>
      <c r="L20" s="660">
        <v>4.8</v>
      </c>
      <c r="M20" s="660">
        <v>5.8</v>
      </c>
      <c r="N20" s="660">
        <v>5.4</v>
      </c>
      <c r="O20" s="660">
        <v>5.4</v>
      </c>
      <c r="P20" s="2213">
        <f t="shared" si="0"/>
        <v>5.3500000000000005</v>
      </c>
      <c r="Q20" s="2225"/>
      <c r="V20" s="2185"/>
      <c r="W20" s="2278">
        <v>16</v>
      </c>
      <c r="X20" s="764" t="s">
        <v>69</v>
      </c>
      <c r="Y20" s="2193" t="s">
        <v>9</v>
      </c>
      <c r="Z20" s="2256" t="s">
        <v>381</v>
      </c>
      <c r="AA20" s="1409" t="s">
        <v>18</v>
      </c>
      <c r="AB20" s="2250" t="s">
        <v>423</v>
      </c>
      <c r="AC20" s="2279">
        <v>14.21</v>
      </c>
      <c r="AD20" s="2185"/>
      <c r="AE20" s="2185"/>
      <c r="AF20" s="2185"/>
      <c r="AG20" s="40"/>
      <c r="AH20" s="40"/>
      <c r="AI20" s="2185"/>
      <c r="AJ20" s="2185"/>
      <c r="AK20" s="2278">
        <v>16</v>
      </c>
      <c r="AL20" s="765" t="s">
        <v>113</v>
      </c>
      <c r="AM20" s="372" t="s">
        <v>15</v>
      </c>
      <c r="AN20" s="2296" t="s">
        <v>104</v>
      </c>
      <c r="AO20" s="387" t="s">
        <v>17</v>
      </c>
      <c r="AP20" s="1823" t="s">
        <v>200</v>
      </c>
      <c r="AQ20" s="2321">
        <v>15</v>
      </c>
      <c r="AR20" s="1845"/>
      <c r="AS20" s="2185"/>
      <c r="AT20" s="756"/>
      <c r="AU20" s="766"/>
      <c r="AV20" s="776"/>
      <c r="AW20" s="784"/>
      <c r="AX20" s="1856"/>
      <c r="AY20" s="2347">
        <v>16</v>
      </c>
      <c r="AZ20" s="777" t="s">
        <v>107</v>
      </c>
      <c r="BA20" s="387" t="s">
        <v>17</v>
      </c>
      <c r="BB20" s="1823" t="s">
        <v>200</v>
      </c>
      <c r="BC20" s="1880" t="s">
        <v>384</v>
      </c>
      <c r="BD20" s="1871" t="s">
        <v>18</v>
      </c>
      <c r="BE20" s="1833" t="s">
        <v>104</v>
      </c>
      <c r="BF20" s="1878" t="s">
        <v>376</v>
      </c>
      <c r="BG20" s="2351">
        <v>13.5</v>
      </c>
      <c r="BH20" s="2185"/>
      <c r="BI20" s="2185"/>
      <c r="BJ20" s="2185"/>
      <c r="BK20" s="40"/>
      <c r="BL20" s="2185"/>
      <c r="BM20" s="2185"/>
      <c r="BN20" s="1851"/>
      <c r="BO20" s="2278">
        <v>16</v>
      </c>
      <c r="BP20" s="764" t="s">
        <v>69</v>
      </c>
      <c r="BQ20" s="1869" t="s">
        <v>10</v>
      </c>
      <c r="BR20" s="1828" t="s">
        <v>193</v>
      </c>
      <c r="BS20" s="387" t="s">
        <v>17</v>
      </c>
      <c r="BT20" s="1823" t="s">
        <v>200</v>
      </c>
      <c r="BU20" s="2361">
        <v>14.34</v>
      </c>
      <c r="BV20" s="1780"/>
      <c r="BW20" s="1786"/>
      <c r="BX20" s="1780"/>
      <c r="BY20" s="1780"/>
      <c r="BZ20" s="1780"/>
      <c r="CA20" s="1780"/>
      <c r="CB20" s="1780"/>
      <c r="CC20" s="1780"/>
      <c r="CD20" s="1780"/>
      <c r="CE20" s="1780"/>
      <c r="CF20" s="1780"/>
      <c r="CG20" s="1780"/>
      <c r="CH20" s="1780"/>
      <c r="CI20" s="1780"/>
      <c r="CJ20" s="1780"/>
      <c r="CK20" s="1780"/>
      <c r="CL20" s="1780"/>
    </row>
    <row r="21" spans="1:90" ht="23" customHeight="1" x14ac:dyDescent="0.3">
      <c r="A21" s="13"/>
      <c r="B21" s="1818">
        <v>17</v>
      </c>
      <c r="C21" s="1180" t="s">
        <v>111</v>
      </c>
      <c r="D21" s="2195" t="s">
        <v>63</v>
      </c>
      <c r="E21" s="777" t="s">
        <v>105</v>
      </c>
      <c r="F21" s="777" t="s">
        <v>105</v>
      </c>
      <c r="G21" s="777" t="s">
        <v>105</v>
      </c>
      <c r="H21" s="2194">
        <v>19.8</v>
      </c>
      <c r="I21" s="2197"/>
      <c r="J21" s="2243">
        <v>5</v>
      </c>
      <c r="K21" s="2100" t="s">
        <v>179</v>
      </c>
      <c r="L21" s="2104">
        <v>4.8</v>
      </c>
      <c r="M21" s="2104">
        <v>5.2</v>
      </c>
      <c r="N21" s="2104">
        <v>4.5999999999999996</v>
      </c>
      <c r="O21" s="2104">
        <v>6.8</v>
      </c>
      <c r="P21" s="2214">
        <f t="shared" si="0"/>
        <v>5.35</v>
      </c>
      <c r="Q21" s="2226"/>
      <c r="V21" s="2185"/>
      <c r="W21" s="2278">
        <v>17</v>
      </c>
      <c r="X21" s="765" t="s">
        <v>106</v>
      </c>
      <c r="Y21" s="453" t="s">
        <v>16</v>
      </c>
      <c r="Z21" s="2257" t="s">
        <v>38</v>
      </c>
      <c r="AA21" s="387" t="s">
        <v>17</v>
      </c>
      <c r="AB21" s="2259" t="s">
        <v>378</v>
      </c>
      <c r="AC21" s="1767">
        <v>14.43</v>
      </c>
      <c r="AD21" s="2185"/>
      <c r="AE21" s="2185"/>
      <c r="AF21" s="2185"/>
      <c r="AG21" s="40"/>
      <c r="AH21" s="40"/>
      <c r="AI21" s="2185"/>
      <c r="AJ21" s="2185"/>
      <c r="AK21" s="2278">
        <v>17</v>
      </c>
      <c r="AL21" s="764" t="s">
        <v>69</v>
      </c>
      <c r="AM21" s="1868" t="s">
        <v>11</v>
      </c>
      <c r="AN21" s="1829" t="s">
        <v>195</v>
      </c>
      <c r="AO21" s="1872" t="s">
        <v>14</v>
      </c>
      <c r="AP21" s="1830" t="s">
        <v>38</v>
      </c>
      <c r="AQ21" s="2323">
        <v>15.08</v>
      </c>
      <c r="AR21" s="1845"/>
      <c r="AS21" s="2185"/>
      <c r="AT21" s="756"/>
      <c r="AU21" s="757"/>
      <c r="AV21" s="757"/>
      <c r="AW21" s="789"/>
      <c r="AX21" s="1858"/>
      <c r="AY21" s="2347">
        <v>17</v>
      </c>
      <c r="AZ21" s="777" t="s">
        <v>107</v>
      </c>
      <c r="BA21" s="405" t="s">
        <v>23</v>
      </c>
      <c r="BB21" s="1827" t="s">
        <v>199</v>
      </c>
      <c r="BC21" s="1875" t="s">
        <v>38</v>
      </c>
      <c r="BD21" s="1867" t="s">
        <v>13</v>
      </c>
      <c r="BE21" s="1835" t="s">
        <v>200</v>
      </c>
      <c r="BF21" s="1877" t="s">
        <v>384</v>
      </c>
      <c r="BG21" s="2351">
        <v>14</v>
      </c>
      <c r="BH21" s="2185"/>
      <c r="BI21" s="2185"/>
      <c r="BJ21" s="2185"/>
      <c r="BK21" s="40"/>
      <c r="BL21" s="2185"/>
      <c r="BM21" s="2185"/>
      <c r="BN21" s="1851"/>
      <c r="BO21" s="2278">
        <v>17</v>
      </c>
      <c r="BP21" s="771" t="s">
        <v>68</v>
      </c>
      <c r="BQ21" s="1868" t="s">
        <v>11</v>
      </c>
      <c r="BR21" s="1829" t="s">
        <v>209</v>
      </c>
      <c r="BS21" s="1870" t="s">
        <v>9</v>
      </c>
      <c r="BT21" s="1832" t="s">
        <v>208</v>
      </c>
      <c r="BU21" s="2361">
        <v>15.08</v>
      </c>
      <c r="BV21" s="1780"/>
      <c r="BW21" s="1786"/>
      <c r="BX21" s="1780"/>
      <c r="BY21" s="1780"/>
      <c r="BZ21" s="1780"/>
      <c r="CA21" s="1780"/>
      <c r="CB21" s="1780"/>
      <c r="CC21" s="1780"/>
      <c r="CD21" s="1780"/>
      <c r="CE21" s="1780"/>
      <c r="CF21" s="1780"/>
      <c r="CG21" s="1780"/>
      <c r="CH21" s="1780"/>
      <c r="CI21" s="1780"/>
      <c r="CJ21" s="1780"/>
      <c r="CK21" s="1780"/>
      <c r="CL21" s="1780"/>
    </row>
    <row r="22" spans="1:90" ht="23" customHeight="1" x14ac:dyDescent="0.3">
      <c r="A22" s="13"/>
      <c r="B22" s="1818">
        <v>18</v>
      </c>
      <c r="C22" s="2186" t="s">
        <v>67</v>
      </c>
      <c r="D22" s="2195" t="s">
        <v>63</v>
      </c>
      <c r="E22" s="2195" t="s">
        <v>63</v>
      </c>
      <c r="F22" s="764" t="s">
        <v>113</v>
      </c>
      <c r="G22" s="764" t="s">
        <v>113</v>
      </c>
      <c r="H22" s="1819">
        <v>19.89</v>
      </c>
      <c r="I22" s="665"/>
      <c r="J22" s="2244">
        <v>6</v>
      </c>
      <c r="K22" s="593" t="s">
        <v>15</v>
      </c>
      <c r="L22" s="594">
        <v>6.4</v>
      </c>
      <c r="M22" s="594">
        <v>6.4</v>
      </c>
      <c r="N22" s="594">
        <v>5.4</v>
      </c>
      <c r="O22" s="594">
        <v>4</v>
      </c>
      <c r="P22" s="2215">
        <f t="shared" si="0"/>
        <v>5.5500000000000007</v>
      </c>
      <c r="Q22" s="2227"/>
      <c r="V22" s="2185"/>
      <c r="W22" s="2278">
        <v>18</v>
      </c>
      <c r="X22" s="777" t="s">
        <v>107</v>
      </c>
      <c r="Y22" s="2238" t="s">
        <v>23</v>
      </c>
      <c r="Z22" s="2255" t="s">
        <v>422</v>
      </c>
      <c r="AA22" s="2192" t="s">
        <v>13</v>
      </c>
      <c r="AB22" s="2252" t="s">
        <v>380</v>
      </c>
      <c r="AC22" s="1767">
        <v>14.56</v>
      </c>
      <c r="AD22" s="2185"/>
      <c r="AE22" s="2185"/>
      <c r="AF22" s="2185"/>
      <c r="AG22" s="40"/>
      <c r="AH22" s="40"/>
      <c r="AI22" s="2185"/>
      <c r="AJ22" s="2185"/>
      <c r="AK22" s="2278">
        <v>18</v>
      </c>
      <c r="AL22" s="765" t="s">
        <v>113</v>
      </c>
      <c r="AM22" s="2298" t="s">
        <v>9</v>
      </c>
      <c r="AN22" s="2299" t="s">
        <v>209</v>
      </c>
      <c r="AO22" s="1872" t="s">
        <v>14</v>
      </c>
      <c r="AP22" s="1830" t="s">
        <v>38</v>
      </c>
      <c r="AQ22" s="2321">
        <v>15.25</v>
      </c>
      <c r="AR22" s="1845"/>
      <c r="AS22" s="2185"/>
      <c r="AT22" s="756"/>
      <c r="AU22" s="766"/>
      <c r="AV22" s="776"/>
      <c r="AW22" s="784"/>
      <c r="AX22" s="1856"/>
      <c r="AY22" s="2347">
        <v>18</v>
      </c>
      <c r="AZ22" s="778" t="s">
        <v>105</v>
      </c>
      <c r="BA22" s="1872" t="s">
        <v>14</v>
      </c>
      <c r="BB22" s="1830" t="s">
        <v>38</v>
      </c>
      <c r="BC22" s="1879" t="s">
        <v>379</v>
      </c>
      <c r="BD22" s="372" t="s">
        <v>15</v>
      </c>
      <c r="BE22" s="2296" t="s">
        <v>104</v>
      </c>
      <c r="BF22" s="2338" t="s">
        <v>376</v>
      </c>
      <c r="BG22" s="2351">
        <v>14.08</v>
      </c>
      <c r="BH22" s="2185"/>
      <c r="BI22" s="2185"/>
      <c r="BJ22" s="2185"/>
      <c r="BK22" s="40"/>
      <c r="BL22" s="2185"/>
      <c r="BM22" s="2185"/>
      <c r="BN22" s="1851"/>
      <c r="BO22" s="2278">
        <v>18</v>
      </c>
      <c r="BP22" s="765" t="s">
        <v>113</v>
      </c>
      <c r="BQ22" s="1868" t="s">
        <v>11</v>
      </c>
      <c r="BR22" s="1829" t="s">
        <v>209</v>
      </c>
      <c r="BS22" s="1872" t="s">
        <v>14</v>
      </c>
      <c r="BT22" s="1830" t="s">
        <v>38</v>
      </c>
      <c r="BU22" s="2361">
        <v>15.68</v>
      </c>
      <c r="BV22" s="1780"/>
      <c r="BW22" s="1786"/>
      <c r="BX22" s="1780"/>
      <c r="BY22" s="1780"/>
      <c r="BZ22" s="1780"/>
      <c r="CA22" s="1780"/>
      <c r="CB22" s="1780"/>
      <c r="CC22" s="1780"/>
      <c r="CD22" s="1780"/>
      <c r="CE22" s="1780"/>
      <c r="CF22" s="1780"/>
      <c r="CG22" s="1780"/>
      <c r="CH22" s="1780"/>
      <c r="CI22" s="1780"/>
      <c r="CJ22" s="1780"/>
      <c r="CK22" s="1780"/>
      <c r="CL22" s="1780"/>
    </row>
    <row r="23" spans="1:90" ht="23" customHeight="1" x14ac:dyDescent="0.3">
      <c r="A23" s="13"/>
      <c r="B23" s="1818">
        <v>19</v>
      </c>
      <c r="C23" s="2187" t="s">
        <v>137</v>
      </c>
      <c r="D23" s="2195" t="s">
        <v>63</v>
      </c>
      <c r="E23" s="764" t="s">
        <v>113</v>
      </c>
      <c r="F23" s="764" t="s">
        <v>113</v>
      </c>
      <c r="G23" s="764" t="s">
        <v>113</v>
      </c>
      <c r="H23" s="1819">
        <v>20.22</v>
      </c>
      <c r="I23" s="665"/>
      <c r="J23" s="2245">
        <v>7</v>
      </c>
      <c r="K23" s="2098" t="s">
        <v>17</v>
      </c>
      <c r="L23" s="2102">
        <v>6.2</v>
      </c>
      <c r="M23" s="2102">
        <v>5.6</v>
      </c>
      <c r="N23" s="2102">
        <v>6.2</v>
      </c>
      <c r="O23" s="2102">
        <v>7.2</v>
      </c>
      <c r="P23" s="2216">
        <f t="shared" si="0"/>
        <v>6.3</v>
      </c>
      <c r="Q23" s="2228"/>
      <c r="V23" s="2185"/>
      <c r="W23" s="2278">
        <v>19</v>
      </c>
      <c r="X23" s="764" t="s">
        <v>69</v>
      </c>
      <c r="Y23" s="1180" t="s">
        <v>14</v>
      </c>
      <c r="Z23" s="2251" t="s">
        <v>379</v>
      </c>
      <c r="AA23" s="453" t="s">
        <v>16</v>
      </c>
      <c r="AB23" s="2257" t="s">
        <v>38</v>
      </c>
      <c r="AC23" s="1767">
        <v>14.78</v>
      </c>
      <c r="AD23" s="2185"/>
      <c r="AE23" s="2185"/>
      <c r="AF23" s="2185"/>
      <c r="AG23" s="40"/>
      <c r="AH23" s="40"/>
      <c r="AI23" s="2185"/>
      <c r="AJ23" s="2185"/>
      <c r="AK23" s="2278">
        <v>19</v>
      </c>
      <c r="AL23" s="778" t="s">
        <v>105</v>
      </c>
      <c r="AM23" s="1872" t="s">
        <v>14</v>
      </c>
      <c r="AN23" s="1830" t="s">
        <v>38</v>
      </c>
      <c r="AO23" s="372" t="s">
        <v>15</v>
      </c>
      <c r="AP23" s="2296" t="s">
        <v>104</v>
      </c>
      <c r="AQ23" s="2322">
        <v>15.56</v>
      </c>
      <c r="AR23" s="1848"/>
      <c r="AS23" s="2185"/>
      <c r="AT23" s="756"/>
      <c r="AU23" s="757"/>
      <c r="AV23" s="757"/>
      <c r="AW23" s="789"/>
      <c r="AX23" s="1858"/>
      <c r="AY23" s="2347">
        <v>19</v>
      </c>
      <c r="AZ23" s="765" t="s">
        <v>113</v>
      </c>
      <c r="BA23" s="372" t="s">
        <v>15</v>
      </c>
      <c r="BB23" s="2296" t="s">
        <v>104</v>
      </c>
      <c r="BC23" s="2338" t="s">
        <v>376</v>
      </c>
      <c r="BD23" s="387" t="s">
        <v>17</v>
      </c>
      <c r="BE23" s="1823" t="s">
        <v>200</v>
      </c>
      <c r="BF23" s="1880" t="s">
        <v>384</v>
      </c>
      <c r="BG23" s="2351">
        <v>14.21</v>
      </c>
      <c r="BH23" s="2185"/>
      <c r="BI23" s="2185"/>
      <c r="BJ23" s="2185"/>
      <c r="BK23" s="40"/>
      <c r="BL23" s="2185"/>
      <c r="BM23" s="2185"/>
      <c r="BN23" s="1851"/>
      <c r="BO23" s="2278">
        <v>19</v>
      </c>
      <c r="BP23" s="771" t="s">
        <v>68</v>
      </c>
      <c r="BQ23" s="1868" t="s">
        <v>11</v>
      </c>
      <c r="BR23" s="1829" t="s">
        <v>209</v>
      </c>
      <c r="BS23" s="718" t="s">
        <v>12</v>
      </c>
      <c r="BT23" s="1827" t="s">
        <v>208</v>
      </c>
      <c r="BU23" s="2361">
        <v>15.86</v>
      </c>
      <c r="BV23" s="1780"/>
      <c r="BW23" s="1786"/>
      <c r="BX23" s="1780"/>
      <c r="BY23" s="1780"/>
      <c r="BZ23" s="1780"/>
      <c r="CA23" s="1780"/>
      <c r="CB23" s="1780"/>
      <c r="CC23" s="1780"/>
      <c r="CD23" s="1780"/>
      <c r="CE23" s="1780"/>
      <c r="CF23" s="1780"/>
      <c r="CG23" s="1780"/>
      <c r="CH23" s="1780"/>
      <c r="CI23" s="1780"/>
      <c r="CJ23" s="1780"/>
      <c r="CK23" s="1780"/>
      <c r="CL23" s="1780"/>
    </row>
    <row r="24" spans="1:90" ht="23" customHeight="1" x14ac:dyDescent="0.3">
      <c r="A24" s="13"/>
      <c r="B24" s="1818">
        <v>20</v>
      </c>
      <c r="C24" s="1418" t="s">
        <v>415</v>
      </c>
      <c r="D24" s="771" t="s">
        <v>68</v>
      </c>
      <c r="E24" s="2195" t="s">
        <v>63</v>
      </c>
      <c r="F24" s="2195" t="s">
        <v>63</v>
      </c>
      <c r="G24" s="2195" t="s">
        <v>63</v>
      </c>
      <c r="H24" s="1819">
        <v>20.23</v>
      </c>
      <c r="I24" s="665"/>
      <c r="J24" s="2246">
        <v>8</v>
      </c>
      <c r="K24" s="606" t="s">
        <v>14</v>
      </c>
      <c r="L24" s="607">
        <v>7</v>
      </c>
      <c r="M24" s="607">
        <v>5.8</v>
      </c>
      <c r="N24" s="607">
        <v>7.4</v>
      </c>
      <c r="O24" s="607">
        <v>5.6</v>
      </c>
      <c r="P24" s="2217">
        <f t="shared" si="0"/>
        <v>6.45</v>
      </c>
      <c r="Q24" s="2229"/>
      <c r="V24" s="797"/>
      <c r="W24" s="2278">
        <v>20</v>
      </c>
      <c r="X24" s="771" t="s">
        <v>68</v>
      </c>
      <c r="Y24" s="372" t="s">
        <v>15</v>
      </c>
      <c r="Z24" s="1332" t="s">
        <v>423</v>
      </c>
      <c r="AA24" s="1409" t="s">
        <v>18</v>
      </c>
      <c r="AB24" s="2250" t="s">
        <v>423</v>
      </c>
      <c r="AC24" s="1767">
        <v>14.88</v>
      </c>
      <c r="AD24" s="2185"/>
      <c r="AE24" s="2185"/>
      <c r="AF24" s="2185"/>
      <c r="AG24" s="40"/>
      <c r="AH24" s="40"/>
      <c r="AI24" s="2185"/>
      <c r="AJ24" s="2185"/>
      <c r="AK24" s="2278">
        <v>20</v>
      </c>
      <c r="AL24" s="765" t="s">
        <v>106</v>
      </c>
      <c r="AM24" s="1867" t="s">
        <v>13</v>
      </c>
      <c r="AN24" s="1835" t="s">
        <v>200</v>
      </c>
      <c r="AO24" s="2293" t="s">
        <v>16</v>
      </c>
      <c r="AP24" s="2294" t="s">
        <v>195</v>
      </c>
      <c r="AQ24" s="2322">
        <v>15.66</v>
      </c>
      <c r="AR24" s="1845"/>
      <c r="AS24" s="2185"/>
      <c r="AT24" s="756"/>
      <c r="AU24" s="766"/>
      <c r="AV24" s="786"/>
      <c r="AW24" s="787"/>
      <c r="AX24" s="1857"/>
      <c r="AY24" s="2347">
        <v>20</v>
      </c>
      <c r="AZ24" s="765" t="s">
        <v>113</v>
      </c>
      <c r="BA24" s="1867" t="s">
        <v>13</v>
      </c>
      <c r="BB24" s="1835" t="s">
        <v>200</v>
      </c>
      <c r="BC24" s="1877" t="s">
        <v>384</v>
      </c>
      <c r="BD24" s="1871" t="s">
        <v>18</v>
      </c>
      <c r="BE24" s="1833" t="s">
        <v>104</v>
      </c>
      <c r="BF24" s="1878" t="s">
        <v>376</v>
      </c>
      <c r="BG24" s="2351">
        <v>14.51</v>
      </c>
      <c r="BH24" s="2185"/>
      <c r="BI24" s="2185"/>
      <c r="BJ24" s="2185"/>
      <c r="BK24" s="40"/>
      <c r="BL24" s="2185"/>
      <c r="BM24" s="2185"/>
      <c r="BN24" s="1851"/>
      <c r="BO24" s="2278">
        <v>20</v>
      </c>
      <c r="BP24" s="778" t="s">
        <v>72</v>
      </c>
      <c r="BQ24" s="1870" t="s">
        <v>9</v>
      </c>
      <c r="BR24" s="1832" t="s">
        <v>208</v>
      </c>
      <c r="BS24" s="1872" t="s">
        <v>14</v>
      </c>
      <c r="BT24" s="1830" t="s">
        <v>38</v>
      </c>
      <c r="BU24" s="2361">
        <v>15.88</v>
      </c>
      <c r="BV24" s="1780"/>
      <c r="BW24" s="1786"/>
      <c r="BX24" s="1780"/>
      <c r="BY24" s="1780"/>
      <c r="BZ24" s="1780"/>
      <c r="CA24" s="1780"/>
      <c r="CB24" s="1780"/>
      <c r="CC24" s="1780"/>
      <c r="CD24" s="1780"/>
      <c r="CE24" s="1780"/>
      <c r="CF24" s="1780"/>
      <c r="CG24" s="1780"/>
      <c r="CH24" s="1780"/>
      <c r="CI24" s="1780"/>
      <c r="CJ24" s="1780"/>
      <c r="CK24" s="1780"/>
      <c r="CL24" s="1780"/>
    </row>
    <row r="25" spans="1:90" ht="23" customHeight="1" x14ac:dyDescent="0.3">
      <c r="A25" s="13"/>
      <c r="B25" s="1818">
        <v>21</v>
      </c>
      <c r="C25" s="1189" t="s">
        <v>103</v>
      </c>
      <c r="D25" s="777" t="s">
        <v>107</v>
      </c>
      <c r="E25" s="2195" t="s">
        <v>63</v>
      </c>
      <c r="F25" s="777" t="s">
        <v>107</v>
      </c>
      <c r="G25" s="777" t="s">
        <v>107</v>
      </c>
      <c r="H25" s="2194">
        <v>20.57</v>
      </c>
      <c r="I25" s="2197"/>
      <c r="J25" s="2247">
        <v>9</v>
      </c>
      <c r="K25" s="1782" t="s">
        <v>9</v>
      </c>
      <c r="L25" s="1784">
        <v>5.6</v>
      </c>
      <c r="M25" s="1784">
        <v>7.2</v>
      </c>
      <c r="N25" s="1784">
        <v>7.2</v>
      </c>
      <c r="O25" s="1784">
        <v>6.2</v>
      </c>
      <c r="P25" s="2218">
        <f t="shared" si="0"/>
        <v>6.5500000000000007</v>
      </c>
      <c r="Q25" s="2230"/>
      <c r="R25" s="1194"/>
      <c r="S25" s="281"/>
      <c r="T25" s="2185"/>
      <c r="U25" s="2185"/>
      <c r="V25" s="2185"/>
      <c r="W25" s="2278">
        <v>21</v>
      </c>
      <c r="X25" s="764" t="s">
        <v>69</v>
      </c>
      <c r="Y25" s="2193" t="s">
        <v>9</v>
      </c>
      <c r="Z25" s="2256" t="s">
        <v>381</v>
      </c>
      <c r="AA25" s="372" t="s">
        <v>15</v>
      </c>
      <c r="AB25" s="1332" t="s">
        <v>423</v>
      </c>
      <c r="AC25" s="1767">
        <v>15</v>
      </c>
      <c r="AD25" s="2185"/>
      <c r="AE25" s="2185"/>
      <c r="AF25" s="2185"/>
      <c r="AG25" s="40"/>
      <c r="AH25" s="40"/>
      <c r="AI25" s="2185"/>
      <c r="AJ25" s="2185"/>
      <c r="AK25" s="2278">
        <v>21</v>
      </c>
      <c r="AL25" s="777" t="s">
        <v>107</v>
      </c>
      <c r="AM25" s="405" t="s">
        <v>23</v>
      </c>
      <c r="AN25" s="1827" t="s">
        <v>104</v>
      </c>
      <c r="AO25" s="1867" t="s">
        <v>13</v>
      </c>
      <c r="AP25" s="1835" t="s">
        <v>200</v>
      </c>
      <c r="AQ25" s="2322">
        <v>16.04</v>
      </c>
      <c r="AR25" s="1845"/>
      <c r="AS25" s="2185"/>
      <c r="AT25" s="756"/>
      <c r="AU25" s="757"/>
      <c r="AV25" s="779"/>
      <c r="AW25" s="795"/>
      <c r="AX25" s="1860"/>
      <c r="AY25" s="2347">
        <v>21</v>
      </c>
      <c r="AZ25" s="765" t="s">
        <v>106</v>
      </c>
      <c r="BA25" s="1869" t="s">
        <v>10</v>
      </c>
      <c r="BB25" s="1828" t="s">
        <v>199</v>
      </c>
      <c r="BC25" s="1874" t="s">
        <v>422</v>
      </c>
      <c r="BD25" s="1867" t="s">
        <v>13</v>
      </c>
      <c r="BE25" s="1835" t="s">
        <v>200</v>
      </c>
      <c r="BF25" s="1877" t="s">
        <v>384</v>
      </c>
      <c r="BG25" s="2351">
        <v>14.53</v>
      </c>
      <c r="BH25" s="2185"/>
      <c r="BI25" s="2185"/>
      <c r="BJ25" s="2185"/>
      <c r="BK25" s="40"/>
      <c r="BL25" s="2185"/>
      <c r="BM25" s="2185"/>
      <c r="BN25" s="1851"/>
      <c r="BO25" s="2278">
        <v>21</v>
      </c>
      <c r="BP25" s="765" t="s">
        <v>106</v>
      </c>
      <c r="BQ25" s="1868" t="s">
        <v>11</v>
      </c>
      <c r="BR25" s="1829" t="s">
        <v>209</v>
      </c>
      <c r="BS25" s="1867" t="s">
        <v>13</v>
      </c>
      <c r="BT25" s="1835" t="s">
        <v>201</v>
      </c>
      <c r="BU25" s="2361">
        <v>15.94</v>
      </c>
      <c r="BV25" s="1780"/>
      <c r="BW25" s="1786"/>
      <c r="BX25" s="1780"/>
      <c r="BY25" s="1780"/>
      <c r="BZ25" s="1780"/>
      <c r="CA25" s="1780"/>
      <c r="CB25" s="1780"/>
      <c r="CC25" s="1780"/>
      <c r="CD25" s="1780"/>
      <c r="CE25" s="1780"/>
      <c r="CF25" s="1780"/>
      <c r="CG25" s="1780"/>
      <c r="CH25" s="1780"/>
      <c r="CI25" s="1780"/>
      <c r="CJ25" s="1780"/>
      <c r="CK25" s="1780"/>
      <c r="CL25" s="1780"/>
    </row>
    <row r="26" spans="1:90" ht="23" customHeight="1" x14ac:dyDescent="0.3">
      <c r="A26" s="13"/>
      <c r="B26" s="1818">
        <v>22</v>
      </c>
      <c r="C26" s="2196" t="s">
        <v>115</v>
      </c>
      <c r="D26" s="777" t="s">
        <v>105</v>
      </c>
      <c r="E26" s="777" t="s">
        <v>105</v>
      </c>
      <c r="F26" s="777" t="s">
        <v>105</v>
      </c>
      <c r="G26" s="764" t="s">
        <v>106</v>
      </c>
      <c r="H26" s="1819">
        <v>21.01</v>
      </c>
      <c r="I26" s="665"/>
      <c r="J26" s="2248">
        <v>10</v>
      </c>
      <c r="K26" s="2219" t="s">
        <v>13</v>
      </c>
      <c r="L26" s="2220">
        <v>6.4</v>
      </c>
      <c r="M26" s="2220">
        <v>7.4</v>
      </c>
      <c r="N26" s="2220">
        <v>6.6</v>
      </c>
      <c r="O26" s="2220">
        <v>7.4</v>
      </c>
      <c r="P26" s="2221">
        <f t="shared" si="0"/>
        <v>6.9499999999999993</v>
      </c>
      <c r="Q26" s="2231"/>
      <c r="R26" s="1194"/>
      <c r="S26" s="281"/>
      <c r="T26" s="2185"/>
      <c r="U26" s="2185"/>
      <c r="V26" s="2185"/>
      <c r="W26" s="2278">
        <v>22</v>
      </c>
      <c r="X26" s="765" t="s">
        <v>113</v>
      </c>
      <c r="Y26" s="2192" t="s">
        <v>13</v>
      </c>
      <c r="Z26" s="2260" t="s">
        <v>380</v>
      </c>
      <c r="AA26" s="1409" t="s">
        <v>18</v>
      </c>
      <c r="AB26" s="2250" t="s">
        <v>423</v>
      </c>
      <c r="AC26" s="1767">
        <v>15.22</v>
      </c>
      <c r="AD26" s="2185"/>
      <c r="AE26" s="2185"/>
      <c r="AF26" s="799" t="s">
        <v>210</v>
      </c>
      <c r="AG26" s="40"/>
      <c r="AH26" s="40"/>
      <c r="AI26" s="2185"/>
      <c r="AJ26" s="2185"/>
      <c r="AK26" s="2278">
        <v>22</v>
      </c>
      <c r="AL26" s="778" t="s">
        <v>105</v>
      </c>
      <c r="AM26" s="2298" t="s">
        <v>9</v>
      </c>
      <c r="AN26" s="2299" t="s">
        <v>209</v>
      </c>
      <c r="AO26" s="387" t="s">
        <v>17</v>
      </c>
      <c r="AP26" s="1823" t="s">
        <v>200</v>
      </c>
      <c r="AQ26" s="2322">
        <v>16.64</v>
      </c>
      <c r="AR26" s="1842"/>
      <c r="AS26" s="2185"/>
      <c r="AT26" s="756"/>
      <c r="AU26" s="766"/>
      <c r="AV26" s="776"/>
      <c r="AW26" s="784"/>
      <c r="AX26" s="1856"/>
      <c r="AY26" s="2347">
        <v>22</v>
      </c>
      <c r="AZ26" s="777" t="s">
        <v>107</v>
      </c>
      <c r="BA26" s="1868" t="s">
        <v>11</v>
      </c>
      <c r="BB26" s="1829" t="s">
        <v>195</v>
      </c>
      <c r="BC26" s="1876" t="s">
        <v>422</v>
      </c>
      <c r="BD26" s="372" t="s">
        <v>15</v>
      </c>
      <c r="BE26" s="2296" t="s">
        <v>104</v>
      </c>
      <c r="BF26" s="2338" t="s">
        <v>376</v>
      </c>
      <c r="BG26" s="2351">
        <v>15.07</v>
      </c>
      <c r="BH26" s="2185"/>
      <c r="BI26" s="2185"/>
      <c r="BJ26" s="2185"/>
      <c r="BK26" s="40"/>
      <c r="BL26" s="2185"/>
      <c r="BM26" s="2185"/>
      <c r="BN26" s="1851"/>
      <c r="BO26" s="2278">
        <v>22</v>
      </c>
      <c r="BP26" s="765" t="s">
        <v>113</v>
      </c>
      <c r="BQ26" s="1867" t="s">
        <v>13</v>
      </c>
      <c r="BR26" s="1835" t="s">
        <v>201</v>
      </c>
      <c r="BS26" s="1872" t="s">
        <v>14</v>
      </c>
      <c r="BT26" s="1830" t="s">
        <v>38</v>
      </c>
      <c r="BU26" s="2361">
        <v>16.25</v>
      </c>
      <c r="BV26" s="1780"/>
      <c r="BW26" s="1786"/>
      <c r="BX26" s="1780"/>
      <c r="BY26" s="1780"/>
      <c r="BZ26" s="1780"/>
      <c r="CA26" s="1780"/>
      <c r="CB26" s="1780"/>
      <c r="CC26" s="1780"/>
      <c r="CD26" s="1780"/>
      <c r="CE26" s="1780"/>
      <c r="CF26" s="1780"/>
      <c r="CG26" s="1780"/>
      <c r="CH26" s="1780"/>
      <c r="CI26" s="1780"/>
      <c r="CJ26" s="1780"/>
      <c r="CK26" s="1780"/>
      <c r="CL26" s="1780"/>
    </row>
    <row r="27" spans="1:90" ht="23" customHeight="1" x14ac:dyDescent="0.3">
      <c r="A27" s="13"/>
      <c r="B27" s="1818">
        <v>23</v>
      </c>
      <c r="C27" s="2190" t="s">
        <v>118</v>
      </c>
      <c r="D27" s="777" t="s">
        <v>72</v>
      </c>
      <c r="E27" s="2195" t="s">
        <v>63</v>
      </c>
      <c r="F27" s="2195" t="s">
        <v>63</v>
      </c>
      <c r="G27" s="777" t="s">
        <v>105</v>
      </c>
      <c r="H27" s="1819">
        <v>21.12</v>
      </c>
      <c r="I27" s="665"/>
      <c r="J27" s="753"/>
      <c r="K27" s="753"/>
      <c r="L27" s="281"/>
      <c r="M27" s="14"/>
      <c r="N27" s="14"/>
      <c r="O27" s="14"/>
      <c r="P27" s="2185"/>
      <c r="Q27" s="2185"/>
      <c r="R27" s="2185"/>
      <c r="S27" s="281"/>
      <c r="T27" s="2185"/>
      <c r="U27" s="2185"/>
      <c r="V27" s="2185"/>
      <c r="W27" s="2278">
        <v>23</v>
      </c>
      <c r="X27" s="765" t="s">
        <v>106</v>
      </c>
      <c r="Y27" s="2192" t="s">
        <v>13</v>
      </c>
      <c r="Z27" s="2260" t="s">
        <v>380</v>
      </c>
      <c r="AA27" s="453" t="s">
        <v>16</v>
      </c>
      <c r="AB27" s="2257" t="s">
        <v>38</v>
      </c>
      <c r="AC27" s="1767">
        <v>15.3</v>
      </c>
      <c r="AD27" s="2185"/>
      <c r="AE27" s="2185"/>
      <c r="AF27" s="2185"/>
      <c r="AG27" s="40"/>
      <c r="AH27" s="40"/>
      <c r="AI27" s="2185"/>
      <c r="AJ27" s="2185"/>
      <c r="AK27" s="2278">
        <v>23</v>
      </c>
      <c r="AL27" s="765" t="s">
        <v>106</v>
      </c>
      <c r="AM27" s="1868" t="s">
        <v>11</v>
      </c>
      <c r="AN27" s="1829" t="s">
        <v>195</v>
      </c>
      <c r="AO27" s="1867" t="s">
        <v>13</v>
      </c>
      <c r="AP27" s="1835" t="s">
        <v>200</v>
      </c>
      <c r="AQ27" s="2322">
        <v>16.829999999999998</v>
      </c>
      <c r="AR27" s="1842"/>
      <c r="AS27" s="2185"/>
      <c r="AT27" s="756"/>
      <c r="AU27" s="766"/>
      <c r="AV27" s="779"/>
      <c r="AW27" s="795"/>
      <c r="AX27" s="1860"/>
      <c r="AY27" s="2347">
        <v>23</v>
      </c>
      <c r="AZ27" s="764" t="s">
        <v>69</v>
      </c>
      <c r="BA27" s="1869" t="s">
        <v>10</v>
      </c>
      <c r="BB27" s="1828" t="s">
        <v>199</v>
      </c>
      <c r="BC27" s="1874" t="s">
        <v>422</v>
      </c>
      <c r="BD27" s="1872" t="s">
        <v>14</v>
      </c>
      <c r="BE27" s="1830" t="s">
        <v>38</v>
      </c>
      <c r="BF27" s="1879" t="s">
        <v>379</v>
      </c>
      <c r="BG27" s="2351">
        <v>15.08</v>
      </c>
      <c r="BH27" s="2185"/>
      <c r="BI27" s="2185"/>
      <c r="BJ27" s="2185"/>
      <c r="BK27" s="40"/>
      <c r="BL27" s="2185"/>
      <c r="BM27" s="2185"/>
      <c r="BN27" s="1851"/>
      <c r="BO27" s="2278">
        <v>23</v>
      </c>
      <c r="BP27" s="778" t="s">
        <v>105</v>
      </c>
      <c r="BQ27" s="1868" t="s">
        <v>11</v>
      </c>
      <c r="BR27" s="1829" t="s">
        <v>209</v>
      </c>
      <c r="BS27" s="387" t="s">
        <v>17</v>
      </c>
      <c r="BT27" s="1823" t="s">
        <v>200</v>
      </c>
      <c r="BU27" s="2361">
        <v>16.670000000000002</v>
      </c>
      <c r="BV27" s="1780"/>
      <c r="BW27" s="1786"/>
      <c r="BX27" s="1780"/>
      <c r="BY27" s="1780"/>
      <c r="BZ27" s="1780"/>
      <c r="CA27" s="1780"/>
      <c r="CB27" s="1780"/>
      <c r="CC27" s="1780"/>
      <c r="CD27" s="1780"/>
      <c r="CE27" s="1780"/>
      <c r="CF27" s="1780"/>
      <c r="CG27" s="1780"/>
      <c r="CH27" s="1780"/>
      <c r="CI27" s="1780"/>
      <c r="CJ27" s="1780"/>
      <c r="CK27" s="1780"/>
      <c r="CL27" s="1780"/>
    </row>
    <row r="28" spans="1:90" ht="23" customHeight="1" x14ac:dyDescent="0.3">
      <c r="A28" s="13"/>
      <c r="B28" s="1818">
        <v>24</v>
      </c>
      <c r="C28" s="1165" t="s">
        <v>62</v>
      </c>
      <c r="D28" s="764" t="s">
        <v>69</v>
      </c>
      <c r="E28" s="2195" t="s">
        <v>63</v>
      </c>
      <c r="F28" s="2195" t="s">
        <v>63</v>
      </c>
      <c r="G28" s="2195" t="s">
        <v>63</v>
      </c>
      <c r="H28" s="1819">
        <v>21.75</v>
      </c>
      <c r="I28" s="665"/>
      <c r="J28" s="753"/>
      <c r="K28" s="753"/>
      <c r="L28" s="281"/>
      <c r="M28" s="14"/>
      <c r="N28" s="14"/>
      <c r="O28" s="14"/>
      <c r="P28" s="2185"/>
      <c r="Q28" s="2185"/>
      <c r="R28" s="2185"/>
      <c r="S28" s="281"/>
      <c r="T28" s="2185"/>
      <c r="U28" s="2185"/>
      <c r="V28" s="2185"/>
      <c r="W28" s="2278">
        <v>24</v>
      </c>
      <c r="X28" s="778" t="s">
        <v>105</v>
      </c>
      <c r="Y28" s="2193" t="s">
        <v>9</v>
      </c>
      <c r="Z28" s="2256" t="s">
        <v>381</v>
      </c>
      <c r="AA28" s="387" t="s">
        <v>17</v>
      </c>
      <c r="AB28" s="2259" t="s">
        <v>378</v>
      </c>
      <c r="AC28" s="1767">
        <v>15.34</v>
      </c>
      <c r="AD28" s="2185"/>
      <c r="AE28" s="2185"/>
      <c r="AF28" s="2185"/>
      <c r="AG28" s="40"/>
      <c r="AH28" s="40"/>
      <c r="AI28" s="2185"/>
      <c r="AJ28" s="2185"/>
      <c r="AK28" s="2278">
        <v>24</v>
      </c>
      <c r="AL28" s="765" t="s">
        <v>106</v>
      </c>
      <c r="AM28" s="1869" t="s">
        <v>10</v>
      </c>
      <c r="AN28" s="1828" t="s">
        <v>199</v>
      </c>
      <c r="AO28" s="1867" t="s">
        <v>13</v>
      </c>
      <c r="AP28" s="1835" t="s">
        <v>200</v>
      </c>
      <c r="AQ28" s="2321">
        <v>16.95</v>
      </c>
      <c r="AR28" s="1842"/>
      <c r="AS28" s="2185"/>
      <c r="AT28" s="756"/>
      <c r="AU28" s="757"/>
      <c r="AV28" s="779"/>
      <c r="AW28" s="795"/>
      <c r="AX28" s="1860"/>
      <c r="AY28" s="2347">
        <v>24</v>
      </c>
      <c r="AZ28" s="765" t="s">
        <v>106</v>
      </c>
      <c r="BA28" s="1868" t="s">
        <v>11</v>
      </c>
      <c r="BB28" s="1829" t="s">
        <v>195</v>
      </c>
      <c r="BC28" s="1876" t="s">
        <v>422</v>
      </c>
      <c r="BD28" s="1867" t="s">
        <v>13</v>
      </c>
      <c r="BE28" s="1835" t="s">
        <v>200</v>
      </c>
      <c r="BF28" s="1877" t="s">
        <v>384</v>
      </c>
      <c r="BG28" s="2351">
        <v>15.3</v>
      </c>
      <c r="BH28" s="2185"/>
      <c r="BI28" s="2185"/>
      <c r="BJ28" s="2185"/>
      <c r="BK28" s="40"/>
      <c r="BL28" s="2185"/>
      <c r="BM28" s="2185"/>
      <c r="BN28" s="1851"/>
      <c r="BO28" s="2278">
        <v>24</v>
      </c>
      <c r="BP28" s="778" t="s">
        <v>72</v>
      </c>
      <c r="BQ28" s="2353" t="s">
        <v>12</v>
      </c>
      <c r="BR28" s="1827" t="s">
        <v>208</v>
      </c>
      <c r="BS28" s="1872" t="s">
        <v>14</v>
      </c>
      <c r="BT28" s="1830" t="s">
        <v>38</v>
      </c>
      <c r="BU28" s="2361">
        <v>16.68</v>
      </c>
      <c r="BV28" s="1780"/>
      <c r="BW28" s="1786"/>
      <c r="BX28" s="1780"/>
      <c r="BY28" s="1780"/>
      <c r="BZ28" s="1780"/>
      <c r="CA28" s="1780"/>
      <c r="CB28" s="1780"/>
      <c r="CC28" s="1780"/>
      <c r="CD28" s="1780"/>
      <c r="CE28" s="1780"/>
      <c r="CF28" s="1780"/>
      <c r="CG28" s="1780"/>
      <c r="CH28" s="1780"/>
      <c r="CI28" s="1780"/>
      <c r="CJ28" s="1780"/>
      <c r="CK28" s="1780"/>
      <c r="CL28" s="1780"/>
    </row>
    <row r="29" spans="1:90" ht="23" customHeight="1" x14ac:dyDescent="0.3">
      <c r="A29" s="13"/>
      <c r="B29" s="1818">
        <v>25</v>
      </c>
      <c r="C29" s="2196" t="s">
        <v>119</v>
      </c>
      <c r="D29" s="777" t="s">
        <v>72</v>
      </c>
      <c r="E29" s="764" t="s">
        <v>113</v>
      </c>
      <c r="F29" s="2195" t="s">
        <v>63</v>
      </c>
      <c r="G29" s="777" t="s">
        <v>72</v>
      </c>
      <c r="H29" s="1819">
        <v>22.54</v>
      </c>
      <c r="I29" s="665"/>
      <c r="J29" s="637"/>
      <c r="K29" s="753"/>
      <c r="L29" s="281"/>
      <c r="M29" s="14"/>
      <c r="N29" s="14"/>
      <c r="O29" s="14"/>
      <c r="P29" s="2185"/>
      <c r="Q29" s="2185"/>
      <c r="R29" s="2185"/>
      <c r="S29" s="798"/>
      <c r="T29" s="797"/>
      <c r="U29" s="797"/>
      <c r="V29" s="797"/>
      <c r="W29" s="2278">
        <v>25</v>
      </c>
      <c r="X29" s="778" t="s">
        <v>105</v>
      </c>
      <c r="Y29" s="2193" t="s">
        <v>9</v>
      </c>
      <c r="Z29" s="2256" t="s">
        <v>381</v>
      </c>
      <c r="AA29" s="2192" t="s">
        <v>13</v>
      </c>
      <c r="AB29" s="2260" t="s">
        <v>380</v>
      </c>
      <c r="AC29" s="1767">
        <v>15.6</v>
      </c>
      <c r="AD29" s="2185"/>
      <c r="AE29" s="2185"/>
      <c r="AF29" s="2185"/>
      <c r="AG29" s="40"/>
      <c r="AH29" s="40"/>
      <c r="AI29" s="2185"/>
      <c r="AJ29" s="2185"/>
      <c r="AK29" s="2280">
        <v>25</v>
      </c>
      <c r="AL29" s="2281" t="s">
        <v>105</v>
      </c>
      <c r="AM29" s="2324" t="s">
        <v>9</v>
      </c>
      <c r="AN29" s="2325" t="s">
        <v>209</v>
      </c>
      <c r="AO29" s="2314" t="s">
        <v>13</v>
      </c>
      <c r="AP29" s="2315" t="s">
        <v>200</v>
      </c>
      <c r="AQ29" s="2326">
        <v>17.52</v>
      </c>
      <c r="AR29" s="1842"/>
      <c r="AS29" s="2185"/>
      <c r="AT29" s="756"/>
      <c r="AU29" s="762"/>
      <c r="AV29" s="757"/>
      <c r="AW29" s="792"/>
      <c r="AX29" s="1861"/>
      <c r="AY29" s="2347">
        <v>25</v>
      </c>
      <c r="AZ29" s="778" t="s">
        <v>105</v>
      </c>
      <c r="BA29" s="1872" t="s">
        <v>14</v>
      </c>
      <c r="BB29" s="1830" t="s">
        <v>38</v>
      </c>
      <c r="BC29" s="1879" t="s">
        <v>379</v>
      </c>
      <c r="BD29" s="1871" t="s">
        <v>18</v>
      </c>
      <c r="BE29" s="1833" t="s">
        <v>104</v>
      </c>
      <c r="BF29" s="1878" t="s">
        <v>376</v>
      </c>
      <c r="BG29" s="2351">
        <v>15.4</v>
      </c>
      <c r="BH29" s="2185"/>
      <c r="BI29" s="2185"/>
      <c r="BJ29" s="2185"/>
      <c r="BK29" s="40"/>
      <c r="BL29" s="2185"/>
      <c r="BM29" s="2185"/>
      <c r="BN29" s="1851"/>
      <c r="BO29" s="2278">
        <v>25</v>
      </c>
      <c r="BP29" s="765" t="s">
        <v>106</v>
      </c>
      <c r="BQ29" s="718" t="s">
        <v>12</v>
      </c>
      <c r="BR29" s="1827" t="s">
        <v>208</v>
      </c>
      <c r="BS29" s="1867" t="s">
        <v>13</v>
      </c>
      <c r="BT29" s="1835" t="s">
        <v>201</v>
      </c>
      <c r="BU29" s="2363">
        <v>17.04</v>
      </c>
      <c r="BV29" s="1780"/>
      <c r="BW29" s="1786"/>
      <c r="BX29" s="1780"/>
      <c r="BY29" s="1780"/>
      <c r="BZ29" s="1780"/>
      <c r="CA29" s="1780"/>
      <c r="CB29" s="1780"/>
      <c r="CC29" s="1780"/>
      <c r="CD29" s="1780"/>
      <c r="CE29" s="1780"/>
      <c r="CF29" s="1780"/>
      <c r="CG29" s="1780"/>
      <c r="CH29" s="1780"/>
      <c r="CI29" s="1780"/>
      <c r="CJ29" s="1780"/>
      <c r="CK29" s="1780"/>
      <c r="CL29" s="1780"/>
    </row>
    <row r="30" spans="1:90" ht="23" customHeight="1" x14ac:dyDescent="0.3">
      <c r="A30" s="13"/>
      <c r="B30" s="1818">
        <v>26</v>
      </c>
      <c r="C30" s="1418" t="s">
        <v>420</v>
      </c>
      <c r="D30" s="2195" t="s">
        <v>63</v>
      </c>
      <c r="E30" s="2195" t="s">
        <v>63</v>
      </c>
      <c r="F30" s="777" t="s">
        <v>72</v>
      </c>
      <c r="G30" s="2195" t="s">
        <v>63</v>
      </c>
      <c r="H30" s="1819">
        <v>22.56</v>
      </c>
      <c r="I30" s="665"/>
      <c r="J30" s="637"/>
      <c r="K30" s="753"/>
      <c r="L30" s="281"/>
      <c r="M30" s="14"/>
      <c r="N30" s="14"/>
      <c r="O30" s="14"/>
      <c r="P30" s="2185"/>
      <c r="Q30" s="2185"/>
      <c r="R30" s="2185"/>
      <c r="S30" s="798"/>
      <c r="T30" s="797"/>
      <c r="U30" s="797"/>
      <c r="V30" s="797"/>
      <c r="W30" s="2278">
        <v>26</v>
      </c>
      <c r="X30" s="765" t="s">
        <v>113</v>
      </c>
      <c r="Y30" s="542" t="s">
        <v>11</v>
      </c>
      <c r="Z30" s="2254" t="s">
        <v>38</v>
      </c>
      <c r="AA30" s="372" t="s">
        <v>15</v>
      </c>
      <c r="AB30" s="1332" t="s">
        <v>423</v>
      </c>
      <c r="AC30" s="1767">
        <v>15.68</v>
      </c>
      <c r="AD30" s="2185"/>
      <c r="AE30" s="2185"/>
      <c r="AF30" s="2185"/>
      <c r="AG30" s="40"/>
      <c r="AH30" s="40"/>
      <c r="AI30" s="2185"/>
      <c r="AJ30" s="2185"/>
      <c r="AK30" s="756"/>
      <c r="AL30" s="777"/>
      <c r="AM30" s="1822"/>
      <c r="AN30" s="1823"/>
      <c r="AO30" s="1824"/>
      <c r="AP30" s="1833"/>
      <c r="AQ30" s="1845"/>
      <c r="AR30" s="1845"/>
      <c r="AS30" s="2185"/>
      <c r="AT30" s="2185"/>
      <c r="AU30" s="2185"/>
      <c r="AV30" s="2185"/>
      <c r="AW30" s="2185"/>
      <c r="AX30" s="1851"/>
      <c r="AY30" s="2347">
        <v>26</v>
      </c>
      <c r="AZ30" s="764" t="s">
        <v>69</v>
      </c>
      <c r="BA30" s="1868" t="s">
        <v>11</v>
      </c>
      <c r="BB30" s="1829" t="s">
        <v>195</v>
      </c>
      <c r="BC30" s="1876" t="s">
        <v>422</v>
      </c>
      <c r="BD30" s="1872" t="s">
        <v>14</v>
      </c>
      <c r="BE30" s="1830" t="s">
        <v>38</v>
      </c>
      <c r="BF30" s="1879" t="s">
        <v>379</v>
      </c>
      <c r="BG30" s="2351">
        <v>16.32</v>
      </c>
      <c r="BH30" s="2185"/>
      <c r="BI30" s="2185"/>
      <c r="BJ30" s="2185"/>
      <c r="BK30" s="40"/>
      <c r="BL30" s="2185"/>
      <c r="BM30" s="2185"/>
      <c r="BN30" s="1851"/>
      <c r="BO30" s="2280">
        <v>26</v>
      </c>
      <c r="BP30" s="2364" t="s">
        <v>106</v>
      </c>
      <c r="BQ30" s="2365" t="s">
        <v>9</v>
      </c>
      <c r="BR30" s="2366" t="s">
        <v>208</v>
      </c>
      <c r="BS30" s="2314" t="s">
        <v>13</v>
      </c>
      <c r="BT30" s="2315" t="s">
        <v>201</v>
      </c>
      <c r="BU30" s="2367">
        <v>17.68</v>
      </c>
      <c r="BV30" s="1780"/>
      <c r="BW30" s="1786"/>
      <c r="BX30" s="1780"/>
      <c r="BY30" s="1780"/>
      <c r="BZ30" s="1780"/>
      <c r="CA30" s="1780"/>
      <c r="CB30" s="1780"/>
      <c r="CC30" s="1780"/>
      <c r="CD30" s="1780"/>
      <c r="CE30" s="1780"/>
      <c r="CF30" s="1780"/>
      <c r="CG30" s="1780"/>
      <c r="CH30" s="1780"/>
      <c r="CI30" s="1780"/>
      <c r="CJ30" s="1780"/>
      <c r="CK30" s="1780"/>
      <c r="CL30" s="1780"/>
    </row>
    <row r="31" spans="1:90" ht="23" customHeight="1" x14ac:dyDescent="0.3">
      <c r="A31" s="13"/>
      <c r="B31" s="1818">
        <v>27</v>
      </c>
      <c r="C31" s="2188" t="s">
        <v>132</v>
      </c>
      <c r="D31" s="764" t="s">
        <v>106</v>
      </c>
      <c r="E31" s="764" t="s">
        <v>106</v>
      </c>
      <c r="F31" s="764" t="s">
        <v>106</v>
      </c>
      <c r="G31" s="2195" t="s">
        <v>63</v>
      </c>
      <c r="H31" s="1819">
        <v>22.72</v>
      </c>
      <c r="I31" s="665"/>
      <c r="J31" s="753"/>
      <c r="K31" s="753"/>
      <c r="L31" s="281"/>
      <c r="M31" s="14"/>
      <c r="N31" s="14"/>
      <c r="O31" s="14"/>
      <c r="P31" s="2185"/>
      <c r="Q31" s="2185"/>
      <c r="R31" s="2185"/>
      <c r="S31" s="798"/>
      <c r="T31" s="797"/>
      <c r="U31" s="797"/>
      <c r="V31" s="797"/>
      <c r="W31" s="2278">
        <v>27</v>
      </c>
      <c r="X31" s="765" t="s">
        <v>106</v>
      </c>
      <c r="Y31" s="2192" t="s">
        <v>13</v>
      </c>
      <c r="Z31" s="2260" t="s">
        <v>380</v>
      </c>
      <c r="AA31" s="1180" t="s">
        <v>14</v>
      </c>
      <c r="AB31" s="2251" t="s">
        <v>379</v>
      </c>
      <c r="AC31" s="1767">
        <v>15.78</v>
      </c>
      <c r="AD31" s="2185"/>
      <c r="AE31" s="2185"/>
      <c r="AF31" s="2185"/>
      <c r="AG31" s="40"/>
      <c r="AH31" s="40"/>
      <c r="AI31" s="2185"/>
      <c r="AJ31" s="2185"/>
      <c r="AK31" s="756"/>
      <c r="AL31" s="778"/>
      <c r="AM31" s="1826"/>
      <c r="AN31" s="1834"/>
      <c r="AO31" s="1824"/>
      <c r="AP31" s="1833"/>
      <c r="AQ31" s="1845"/>
      <c r="AR31" s="1845"/>
      <c r="AS31" s="2185"/>
      <c r="AT31" s="756"/>
      <c r="AU31" s="766"/>
      <c r="AV31" s="770"/>
      <c r="AW31" s="757"/>
      <c r="AX31" s="1862"/>
      <c r="AY31" s="2348">
        <v>27</v>
      </c>
      <c r="AZ31" s="2281" t="s">
        <v>105</v>
      </c>
      <c r="BA31" s="2324" t="s">
        <v>9</v>
      </c>
      <c r="BB31" s="2325" t="s">
        <v>208</v>
      </c>
      <c r="BC31" s="2349" t="s">
        <v>377</v>
      </c>
      <c r="BD31" s="2314" t="s">
        <v>13</v>
      </c>
      <c r="BE31" s="2315" t="s">
        <v>200</v>
      </c>
      <c r="BF31" s="2350" t="s">
        <v>384</v>
      </c>
      <c r="BG31" s="2352">
        <v>17.25</v>
      </c>
      <c r="BH31" s="2185"/>
      <c r="BI31" s="2185"/>
      <c r="BJ31" s="2185"/>
      <c r="BK31" s="40"/>
      <c r="BL31" s="2185"/>
      <c r="BM31" s="2185"/>
      <c r="BN31" s="1851"/>
      <c r="BO31" s="756"/>
      <c r="BP31" s="1889"/>
      <c r="BQ31" s="1392"/>
      <c r="BR31" s="1829"/>
      <c r="BS31" s="1407"/>
      <c r="BT31" s="1834"/>
      <c r="BU31" s="2234"/>
      <c r="BV31" s="1780"/>
      <c r="BW31" s="1786"/>
      <c r="BX31" s="1780"/>
      <c r="BY31" s="1780"/>
      <c r="BZ31" s="1780"/>
      <c r="CA31" s="1780"/>
      <c r="CB31" s="1780"/>
      <c r="CC31" s="1780"/>
      <c r="CD31" s="1780"/>
      <c r="CE31" s="1780"/>
      <c r="CF31" s="1780"/>
      <c r="CG31" s="1780"/>
      <c r="CH31" s="1780"/>
      <c r="CI31" s="1780"/>
      <c r="CJ31" s="1780"/>
      <c r="CK31" s="1780"/>
      <c r="CL31" s="1780"/>
    </row>
    <row r="32" spans="1:90" ht="23" customHeight="1" x14ac:dyDescent="0.3">
      <c r="A32" s="13"/>
      <c r="B32" s="1818">
        <v>28</v>
      </c>
      <c r="C32" s="1180" t="s">
        <v>136</v>
      </c>
      <c r="D32" s="2195" t="s">
        <v>63</v>
      </c>
      <c r="E32" s="777" t="s">
        <v>105</v>
      </c>
      <c r="F32" s="777" t="s">
        <v>105</v>
      </c>
      <c r="G32" s="2195" t="s">
        <v>63</v>
      </c>
      <c r="H32" s="1819">
        <v>23.22</v>
      </c>
      <c r="I32" s="665"/>
      <c r="J32" s="753"/>
      <c r="K32" s="753"/>
      <c r="L32" s="281"/>
      <c r="M32" s="14"/>
      <c r="N32" s="14"/>
      <c r="O32" s="14"/>
      <c r="P32" s="2185"/>
      <c r="Q32" s="2185"/>
      <c r="R32" s="800"/>
      <c r="S32" s="281"/>
      <c r="T32" s="2185"/>
      <c r="U32" s="2185"/>
      <c r="V32" s="2185"/>
      <c r="W32" s="2278">
        <v>28</v>
      </c>
      <c r="X32" s="777" t="s">
        <v>107</v>
      </c>
      <c r="Y32" s="387" t="s">
        <v>17</v>
      </c>
      <c r="Z32" s="2259" t="s">
        <v>378</v>
      </c>
      <c r="AA32" s="1409" t="s">
        <v>18</v>
      </c>
      <c r="AB32" s="2250" t="s">
        <v>423</v>
      </c>
      <c r="AC32" s="1767">
        <v>16.47</v>
      </c>
      <c r="AD32" s="2185"/>
      <c r="AE32" s="2185"/>
      <c r="AF32" s="2185"/>
      <c r="AG32" s="40"/>
      <c r="AH32" s="40"/>
      <c r="AI32" s="2185"/>
      <c r="AJ32" s="2185"/>
      <c r="AK32" s="756"/>
      <c r="AL32" s="765"/>
      <c r="AM32" s="1825"/>
      <c r="AN32" s="1831"/>
      <c r="AO32" s="1826"/>
      <c r="AP32" s="1834"/>
      <c r="AQ32" s="1845"/>
      <c r="AR32" s="1845"/>
      <c r="AS32" s="2185"/>
      <c r="AT32" s="756"/>
      <c r="AU32" s="757"/>
      <c r="AV32" s="779"/>
      <c r="AW32" s="770"/>
      <c r="AX32" s="1863"/>
      <c r="AY32" s="801"/>
      <c r="AZ32" s="384"/>
      <c r="BA32" s="384"/>
      <c r="BB32" s="384"/>
      <c r="BC32" s="1873"/>
      <c r="BD32" s="384"/>
      <c r="BE32" s="2185"/>
      <c r="BF32" s="1881"/>
      <c r="BG32" s="1887"/>
      <c r="BH32" s="2185"/>
      <c r="BI32" s="2185"/>
      <c r="BJ32" s="2185"/>
      <c r="BK32" s="40"/>
      <c r="BL32" s="2185"/>
      <c r="BM32" s="2185"/>
      <c r="BN32" s="1851"/>
      <c r="BO32" s="756"/>
      <c r="BP32" s="766"/>
      <c r="BQ32" s="766"/>
      <c r="BR32" s="766"/>
      <c r="BS32" s="782"/>
      <c r="BT32" s="791"/>
      <c r="BU32" s="384"/>
      <c r="BV32" s="1780"/>
      <c r="BW32" s="1786"/>
      <c r="BX32" s="1780"/>
      <c r="BY32" s="1780"/>
      <c r="BZ32" s="1780"/>
      <c r="CA32" s="1780"/>
      <c r="CB32" s="1780"/>
      <c r="CC32" s="1780"/>
      <c r="CD32" s="1780"/>
      <c r="CE32" s="1780"/>
      <c r="CF32" s="1780"/>
      <c r="CG32" s="1780"/>
      <c r="CH32" s="1780"/>
      <c r="CI32" s="1780"/>
      <c r="CJ32" s="1780"/>
      <c r="CK32" s="1780"/>
      <c r="CL32" s="1780"/>
    </row>
    <row r="33" spans="1:90" ht="23" customHeight="1" x14ac:dyDescent="0.2">
      <c r="A33" s="13"/>
      <c r="B33" s="1818">
        <v>29</v>
      </c>
      <c r="C33" s="2188" t="s">
        <v>121</v>
      </c>
      <c r="D33" s="771" t="s">
        <v>68</v>
      </c>
      <c r="E33" s="771" t="s">
        <v>68</v>
      </c>
      <c r="F33" s="771" t="s">
        <v>68</v>
      </c>
      <c r="G33" s="2195" t="s">
        <v>63</v>
      </c>
      <c r="H33" s="1819">
        <v>23.3</v>
      </c>
      <c r="I33" s="665"/>
      <c r="J33" s="753"/>
      <c r="K33" s="753"/>
      <c r="L33" s="40"/>
      <c r="M33" s="14"/>
      <c r="N33" s="14"/>
      <c r="O33" s="14"/>
      <c r="P33" s="2185"/>
      <c r="Q33" s="2185"/>
      <c r="R33" s="800"/>
      <c r="S33" s="281"/>
      <c r="T33" s="2185"/>
      <c r="U33" s="2185"/>
      <c r="V33" s="2185"/>
      <c r="W33" s="2278">
        <v>29</v>
      </c>
      <c r="X33" s="765" t="s">
        <v>113</v>
      </c>
      <c r="Y33" s="2192" t="s">
        <v>13</v>
      </c>
      <c r="Z33" s="2260" t="s">
        <v>380</v>
      </c>
      <c r="AA33" s="372" t="s">
        <v>15</v>
      </c>
      <c r="AB33" s="1332" t="s">
        <v>423</v>
      </c>
      <c r="AC33" s="1767">
        <v>16.579999999999998</v>
      </c>
      <c r="AD33" s="2185"/>
      <c r="AE33" s="2185"/>
      <c r="AF33" s="2185"/>
      <c r="AG33" s="40"/>
      <c r="AH33" s="40"/>
      <c r="AI33" s="2185"/>
      <c r="AJ33" s="2185"/>
      <c r="AK33" s="756"/>
      <c r="AL33" s="757"/>
      <c r="AM33" s="2185"/>
      <c r="AN33" s="40"/>
      <c r="AO33" s="2185"/>
      <c r="AP33" s="40"/>
      <c r="AQ33" s="1845"/>
      <c r="AR33" s="1845"/>
      <c r="AS33" s="2185"/>
      <c r="AT33" s="756"/>
      <c r="AU33" s="757"/>
      <c r="AV33" s="760"/>
      <c r="AW33" s="779"/>
      <c r="AX33" s="1864"/>
      <c r="AY33" s="189"/>
      <c r="AZ33" s="384"/>
      <c r="BA33" s="384"/>
      <c r="BB33" s="384"/>
      <c r="BC33" s="1873"/>
      <c r="BD33" s="384"/>
      <c r="BE33" s="2185"/>
      <c r="BF33" s="1881"/>
      <c r="BG33" s="1887"/>
      <c r="BH33" s="2185"/>
      <c r="BI33" s="2185"/>
      <c r="BJ33" s="2185"/>
      <c r="BK33" s="40"/>
      <c r="BL33" s="2185"/>
      <c r="BM33" s="2185"/>
      <c r="BN33" s="1851"/>
      <c r="BO33" s="756"/>
      <c r="BP33" s="762"/>
      <c r="BQ33" s="762"/>
      <c r="BR33" s="762"/>
      <c r="BS33" s="788"/>
      <c r="BT33" s="783"/>
      <c r="BU33" s="384"/>
      <c r="BV33" s="1780"/>
      <c r="BW33" s="1786"/>
      <c r="BX33" s="1780"/>
      <c r="BY33" s="1780"/>
      <c r="BZ33" s="1780"/>
      <c r="CA33" s="1780"/>
      <c r="CB33" s="1780"/>
      <c r="CC33" s="1780"/>
      <c r="CD33" s="1780"/>
      <c r="CE33" s="1780"/>
      <c r="CF33" s="1780"/>
      <c r="CG33" s="1780"/>
      <c r="CH33" s="1780"/>
      <c r="CI33" s="1780"/>
      <c r="CJ33" s="1780"/>
      <c r="CK33" s="1780"/>
      <c r="CL33" s="1780"/>
    </row>
    <row r="34" spans="1:90" ht="23" customHeight="1" x14ac:dyDescent="0.2">
      <c r="A34" s="13"/>
      <c r="B34" s="1818">
        <v>30</v>
      </c>
      <c r="C34" s="2190" t="s">
        <v>129</v>
      </c>
      <c r="D34" s="764" t="s">
        <v>69</v>
      </c>
      <c r="E34" s="2195" t="s">
        <v>63</v>
      </c>
      <c r="F34" s="764" t="s">
        <v>69</v>
      </c>
      <c r="G34" s="2195" t="s">
        <v>63</v>
      </c>
      <c r="H34" s="1819">
        <v>23.5</v>
      </c>
      <c r="I34" s="665"/>
      <c r="J34" s="753"/>
      <c r="K34" s="753"/>
      <c r="L34" s="40"/>
      <c r="M34" s="14"/>
      <c r="N34" s="14"/>
      <c r="O34" s="14"/>
      <c r="P34" s="2185"/>
      <c r="Q34" s="2185"/>
      <c r="R34" s="2185"/>
      <c r="S34" s="798"/>
      <c r="T34" s="797"/>
      <c r="U34" s="797"/>
      <c r="V34" s="797"/>
      <c r="W34" s="2278">
        <v>30</v>
      </c>
      <c r="X34" s="765" t="s">
        <v>113</v>
      </c>
      <c r="Y34" s="372" t="s">
        <v>15</v>
      </c>
      <c r="Z34" s="1332" t="s">
        <v>423</v>
      </c>
      <c r="AA34" s="453" t="s">
        <v>16</v>
      </c>
      <c r="AB34" s="2257" t="s">
        <v>38</v>
      </c>
      <c r="AC34" s="2279">
        <v>17.399999999999999</v>
      </c>
      <c r="AD34" s="2185"/>
      <c r="AE34" s="2185"/>
      <c r="AF34" s="2185"/>
      <c r="AG34" s="40"/>
      <c r="AH34" s="40"/>
      <c r="AI34" s="2185"/>
      <c r="AJ34" s="2185"/>
      <c r="AK34" s="2185"/>
      <c r="AL34" s="2185"/>
      <c r="AM34" s="2185"/>
      <c r="AN34" s="40"/>
      <c r="AO34" s="2185"/>
      <c r="AP34" s="40"/>
      <c r="AQ34" s="1845"/>
      <c r="AR34" s="1845"/>
      <c r="AS34" s="2185"/>
      <c r="AT34" s="756"/>
      <c r="AU34" s="757"/>
      <c r="AV34" s="779"/>
      <c r="AW34" s="792"/>
      <c r="AX34" s="1861"/>
      <c r="AY34" s="802"/>
      <c r="AZ34" s="384"/>
      <c r="BA34" s="384"/>
      <c r="BB34" s="384"/>
      <c r="BC34" s="1873"/>
      <c r="BD34" s="384"/>
      <c r="BE34" s="2185"/>
      <c r="BF34" s="1881"/>
      <c r="BG34" s="1887"/>
      <c r="BH34" s="2185"/>
      <c r="BI34" s="2185"/>
      <c r="BJ34" s="2185"/>
      <c r="BK34" s="40"/>
      <c r="BL34" s="2185"/>
      <c r="BM34" s="2185"/>
      <c r="BN34" s="1851"/>
      <c r="BO34" s="756"/>
      <c r="BP34" s="762"/>
      <c r="BQ34" s="762"/>
      <c r="BR34" s="762"/>
      <c r="BS34" s="783"/>
      <c r="BT34" s="780"/>
      <c r="BU34" s="384"/>
      <c r="BV34" s="1780"/>
      <c r="BW34" s="1786"/>
      <c r="BX34" s="1780"/>
      <c r="BY34" s="1780"/>
      <c r="BZ34" s="1780"/>
      <c r="CA34" s="1780"/>
      <c r="CB34" s="1780"/>
      <c r="CC34" s="1780"/>
      <c r="CD34" s="1780"/>
      <c r="CE34" s="1780"/>
      <c r="CF34" s="1780"/>
      <c r="CG34" s="1780"/>
      <c r="CH34" s="1780"/>
      <c r="CI34" s="1780"/>
      <c r="CJ34" s="1780"/>
      <c r="CK34" s="1780"/>
      <c r="CL34" s="1780"/>
    </row>
    <row r="35" spans="1:90" ht="23" customHeight="1" x14ac:dyDescent="0.2">
      <c r="A35" s="13"/>
      <c r="B35" s="1818">
        <v>31</v>
      </c>
      <c r="C35" s="2190" t="s">
        <v>122</v>
      </c>
      <c r="D35" s="2195" t="s">
        <v>63</v>
      </c>
      <c r="E35" s="764" t="s">
        <v>113</v>
      </c>
      <c r="F35" s="764" t="s">
        <v>113</v>
      </c>
      <c r="G35" s="2195" t="s">
        <v>63</v>
      </c>
      <c r="H35" s="1819">
        <v>23.88</v>
      </c>
      <c r="I35" s="665"/>
      <c r="J35" s="753"/>
      <c r="K35" s="753"/>
      <c r="L35" s="40"/>
      <c r="M35" s="14"/>
      <c r="N35" s="14"/>
      <c r="O35" s="14"/>
      <c r="P35" s="2185"/>
      <c r="Q35" s="2185"/>
      <c r="R35" s="2185"/>
      <c r="S35" s="798"/>
      <c r="T35" s="797"/>
      <c r="U35" s="797"/>
      <c r="V35" s="797"/>
      <c r="W35" s="2280">
        <v>31</v>
      </c>
      <c r="X35" s="2281" t="s">
        <v>72</v>
      </c>
      <c r="Y35" s="2282" t="s">
        <v>9</v>
      </c>
      <c r="Z35" s="2283" t="s">
        <v>381</v>
      </c>
      <c r="AA35" s="2284" t="s">
        <v>14</v>
      </c>
      <c r="AB35" s="2285" t="s">
        <v>379</v>
      </c>
      <c r="AC35" s="2286">
        <v>18.5</v>
      </c>
      <c r="AD35" s="2185"/>
      <c r="AE35" s="2185"/>
      <c r="AF35" s="2185"/>
      <c r="AG35" s="40"/>
      <c r="AH35" s="40"/>
      <c r="AI35" s="2185"/>
      <c r="AJ35" s="2185"/>
      <c r="AK35" s="756"/>
      <c r="AL35" s="2185"/>
      <c r="AM35" s="2185"/>
      <c r="AN35" s="40"/>
      <c r="AO35" s="2185"/>
      <c r="AP35" s="40"/>
      <c r="AQ35" s="1845"/>
      <c r="AR35" s="1845"/>
      <c r="AS35" s="2185"/>
      <c r="AT35" s="756"/>
      <c r="AU35" s="796"/>
      <c r="AV35" s="757"/>
      <c r="AW35" s="803"/>
      <c r="AX35" s="1865"/>
      <c r="AY35" s="804"/>
      <c r="AZ35" s="384"/>
      <c r="BA35" s="384"/>
      <c r="BB35" s="384"/>
      <c r="BC35" s="1873"/>
      <c r="BD35" s="384"/>
      <c r="BE35" s="2185"/>
      <c r="BF35" s="1881"/>
      <c r="BG35" s="1887"/>
      <c r="BH35" s="2185"/>
      <c r="BI35" s="2185"/>
      <c r="BJ35" s="2185"/>
      <c r="BK35" s="40"/>
      <c r="BL35" s="2185"/>
      <c r="BM35" s="2185"/>
      <c r="BN35" s="1851"/>
      <c r="BO35" s="756"/>
      <c r="BP35" s="757"/>
      <c r="BQ35" s="757"/>
      <c r="BR35" s="757"/>
      <c r="BS35" s="788"/>
      <c r="BT35" s="785"/>
      <c r="BU35" s="384"/>
      <c r="BV35" s="1780"/>
      <c r="BW35" s="1786"/>
      <c r="BX35" s="1780"/>
      <c r="BY35" s="1780"/>
      <c r="BZ35" s="1780"/>
      <c r="CA35" s="1780"/>
      <c r="CB35" s="1780"/>
      <c r="CC35" s="1780"/>
      <c r="CD35" s="1780"/>
      <c r="CE35" s="1780"/>
      <c r="CF35" s="1780"/>
      <c r="CG35" s="1780"/>
      <c r="CH35" s="1780"/>
      <c r="CI35" s="1780"/>
      <c r="CJ35" s="1780"/>
      <c r="CK35" s="1780"/>
      <c r="CL35" s="1780"/>
    </row>
    <row r="36" spans="1:90" ht="23" customHeight="1" x14ac:dyDescent="0.2">
      <c r="A36" s="13"/>
      <c r="B36" s="1818">
        <v>32</v>
      </c>
      <c r="C36" s="1418" t="s">
        <v>414</v>
      </c>
      <c r="D36" s="771" t="s">
        <v>68</v>
      </c>
      <c r="E36" s="2195" t="s">
        <v>63</v>
      </c>
      <c r="F36" s="2195" t="s">
        <v>63</v>
      </c>
      <c r="G36" s="2195" t="s">
        <v>63</v>
      </c>
      <c r="H36" s="1819">
        <v>25.44</v>
      </c>
      <c r="I36" s="665"/>
      <c r="J36" s="753"/>
      <c r="K36" s="753"/>
      <c r="L36" s="40"/>
      <c r="M36" s="14"/>
      <c r="N36" s="14"/>
      <c r="O36" s="14"/>
      <c r="P36" s="2185"/>
      <c r="Q36" s="2185"/>
      <c r="R36" s="14"/>
      <c r="S36" s="281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40"/>
      <c r="AH36" s="40"/>
      <c r="AI36" s="14"/>
      <c r="AJ36" s="14"/>
      <c r="AK36" s="1780"/>
      <c r="AL36" s="1780"/>
      <c r="AM36" s="1780"/>
      <c r="AN36" s="40"/>
      <c r="AO36" s="1780"/>
      <c r="AP36" s="40"/>
      <c r="AQ36" s="1845"/>
      <c r="AR36" s="1845"/>
      <c r="AS36" s="1780"/>
      <c r="AT36" s="805"/>
      <c r="AU36" s="757"/>
      <c r="AV36" s="758"/>
      <c r="AW36" s="759"/>
      <c r="AX36" s="1866"/>
      <c r="AY36" s="769"/>
      <c r="AZ36" s="793"/>
      <c r="BA36" s="793"/>
      <c r="BB36" s="793"/>
      <c r="BC36" s="1883"/>
      <c r="BD36" s="793"/>
      <c r="BE36" s="1780"/>
      <c r="BF36" s="1881"/>
      <c r="BG36" s="1887"/>
      <c r="BH36" s="1786"/>
      <c r="BI36" s="1780"/>
      <c r="BJ36" s="1780"/>
      <c r="BK36" s="40"/>
      <c r="BL36" s="1780"/>
      <c r="BM36" s="1780"/>
      <c r="BN36" s="1851"/>
      <c r="BO36" s="756"/>
      <c r="BP36" s="757"/>
      <c r="BQ36" s="757"/>
      <c r="BR36" s="757"/>
      <c r="BS36" s="780"/>
      <c r="BT36" s="785"/>
      <c r="BU36" s="384"/>
      <c r="BV36" s="1780"/>
      <c r="BW36" s="1786"/>
      <c r="BX36" s="1780"/>
      <c r="BY36" s="1780"/>
      <c r="BZ36" s="1780"/>
      <c r="CA36" s="1780"/>
      <c r="CB36" s="1780"/>
      <c r="CC36" s="1780"/>
      <c r="CD36" s="1780"/>
      <c r="CE36" s="1780"/>
      <c r="CF36" s="1780"/>
      <c r="CG36" s="1780"/>
      <c r="CH36" s="1780"/>
      <c r="CI36" s="1780"/>
      <c r="CJ36" s="1780"/>
      <c r="CK36" s="1780"/>
      <c r="CL36" s="1780"/>
    </row>
    <row r="37" spans="1:90" ht="23" customHeight="1" x14ac:dyDescent="0.2">
      <c r="A37" s="13"/>
      <c r="B37" s="1818">
        <v>33</v>
      </c>
      <c r="C37" s="2202" t="s">
        <v>116</v>
      </c>
      <c r="D37" s="2195" t="s">
        <v>63</v>
      </c>
      <c r="E37" s="764" t="s">
        <v>106</v>
      </c>
      <c r="F37" s="764" t="s">
        <v>106</v>
      </c>
      <c r="G37" s="2195" t="s">
        <v>63</v>
      </c>
      <c r="H37" s="1819">
        <v>25.74</v>
      </c>
      <c r="I37" s="665"/>
      <c r="J37" s="753"/>
      <c r="K37" s="753"/>
      <c r="L37" s="40"/>
      <c r="M37" s="14"/>
      <c r="N37" s="14"/>
      <c r="O37" s="14"/>
      <c r="P37" s="2185"/>
      <c r="Q37" s="2185"/>
      <c r="R37" s="14"/>
      <c r="S37" s="281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40"/>
      <c r="AH37" s="40"/>
      <c r="AI37" s="14"/>
      <c r="AJ37" s="14"/>
      <c r="AK37" s="1780"/>
      <c r="AL37" s="1780"/>
      <c r="AM37" s="1780"/>
      <c r="AN37" s="40"/>
      <c r="AO37" s="1780"/>
      <c r="AP37" s="40"/>
      <c r="AQ37" s="1845"/>
      <c r="AR37" s="1845"/>
      <c r="AS37" s="1780"/>
      <c r="AT37" s="1780"/>
      <c r="AU37" s="1780"/>
      <c r="AV37" s="1780"/>
      <c r="AW37" s="1780"/>
      <c r="AX37" s="1851"/>
      <c r="AY37" s="40"/>
      <c r="AZ37" s="204"/>
      <c r="BA37" s="204"/>
      <c r="BB37" s="204"/>
      <c r="BC37" s="1884"/>
      <c r="BD37" s="204"/>
      <c r="BE37" s="1780"/>
      <c r="BF37" s="1881"/>
      <c r="BG37" s="1887"/>
      <c r="BH37" s="1786"/>
      <c r="BI37" s="1780"/>
      <c r="BJ37" s="1780"/>
      <c r="BK37" s="40"/>
      <c r="BL37" s="1780"/>
      <c r="BM37" s="1780"/>
      <c r="BN37" s="1851"/>
      <c r="BO37" s="756"/>
      <c r="BP37" s="757"/>
      <c r="BQ37" s="757"/>
      <c r="BR37" s="757"/>
      <c r="BS37" s="775"/>
      <c r="BT37" s="782"/>
      <c r="BU37" s="384"/>
      <c r="BV37" s="1780"/>
      <c r="BW37" s="1786"/>
      <c r="BX37" s="1780"/>
      <c r="BY37" s="1780"/>
      <c r="BZ37" s="1780"/>
      <c r="CA37" s="1780"/>
      <c r="CB37" s="1780"/>
      <c r="CC37" s="1780"/>
      <c r="CD37" s="1780"/>
      <c r="CE37" s="1780"/>
      <c r="CF37" s="1780"/>
      <c r="CG37" s="1780"/>
      <c r="CH37" s="1780"/>
      <c r="CI37" s="1780"/>
      <c r="CJ37" s="1780"/>
      <c r="CK37" s="1780"/>
      <c r="CL37" s="1780"/>
    </row>
    <row r="38" spans="1:90" ht="23" customHeight="1" x14ac:dyDescent="0.2">
      <c r="A38" s="13"/>
      <c r="B38" s="1818">
        <v>34</v>
      </c>
      <c r="C38" s="2196" t="s">
        <v>131</v>
      </c>
      <c r="D38" s="777" t="s">
        <v>105</v>
      </c>
      <c r="E38" s="777" t="s">
        <v>105</v>
      </c>
      <c r="F38" s="2195" t="s">
        <v>63</v>
      </c>
      <c r="G38" s="2195" t="s">
        <v>63</v>
      </c>
      <c r="H38" s="1819">
        <v>25.99</v>
      </c>
      <c r="I38" s="665"/>
      <c r="J38" s="753"/>
      <c r="K38" s="281"/>
      <c r="L38" s="281"/>
      <c r="M38" s="14"/>
      <c r="N38" s="14"/>
      <c r="O38" s="14"/>
      <c r="P38" s="2185"/>
      <c r="Q38" s="2185"/>
      <c r="R38" s="14"/>
      <c r="S38" s="281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40"/>
      <c r="AH38" s="40"/>
      <c r="AI38" s="14"/>
      <c r="AJ38" s="14"/>
      <c r="AK38" s="1780"/>
      <c r="AL38" s="1780"/>
      <c r="AM38" s="1780"/>
      <c r="AN38" s="40"/>
      <c r="AO38" s="1780"/>
      <c r="AP38" s="40"/>
      <c r="AQ38" s="1845"/>
      <c r="AR38" s="1845"/>
      <c r="AS38" s="1780"/>
      <c r="AT38" s="1780"/>
      <c r="AU38" s="1780"/>
      <c r="AV38" s="1780"/>
      <c r="AW38" s="1780"/>
      <c r="AX38" s="1851"/>
      <c r="AY38" s="40"/>
      <c r="AZ38" s="204"/>
      <c r="BA38" s="204"/>
      <c r="BB38" s="204"/>
      <c r="BC38" s="1884"/>
      <c r="BD38" s="204"/>
      <c r="BE38" s="1780"/>
      <c r="BF38" s="1881"/>
      <c r="BG38" s="1887"/>
      <c r="BH38" s="1786"/>
      <c r="BI38" s="1780"/>
      <c r="BJ38" s="1780"/>
      <c r="BK38" s="40"/>
      <c r="BL38" s="1780"/>
      <c r="BM38" s="1780"/>
      <c r="BN38" s="1851"/>
      <c r="BO38" s="756"/>
      <c r="BP38" s="766"/>
      <c r="BQ38" s="766"/>
      <c r="BR38" s="766"/>
      <c r="BS38" s="791"/>
      <c r="BT38" s="763"/>
      <c r="BU38" s="384"/>
      <c r="BV38" s="1780"/>
      <c r="BW38" s="1786"/>
      <c r="BX38" s="1780"/>
      <c r="BY38" s="1780"/>
      <c r="BZ38" s="1780"/>
      <c r="CA38" s="1780"/>
      <c r="CB38" s="1780"/>
      <c r="CC38" s="1780"/>
      <c r="CD38" s="1780"/>
      <c r="CE38" s="1780"/>
      <c r="CF38" s="1780"/>
      <c r="CG38" s="1780"/>
      <c r="CH38" s="1780"/>
      <c r="CI38" s="1780"/>
      <c r="CJ38" s="1780"/>
      <c r="CK38" s="1780"/>
      <c r="CL38" s="1780"/>
    </row>
    <row r="39" spans="1:90" ht="23" customHeight="1" x14ac:dyDescent="0.2">
      <c r="A39" s="13"/>
      <c r="B39" s="1818">
        <v>35</v>
      </c>
      <c r="C39" s="2188" t="s">
        <v>66</v>
      </c>
      <c r="D39" s="764" t="s">
        <v>106</v>
      </c>
      <c r="E39" s="2195" t="s">
        <v>63</v>
      </c>
      <c r="F39" s="2195" t="s">
        <v>63</v>
      </c>
      <c r="G39" s="764" t="s">
        <v>113</v>
      </c>
      <c r="H39" s="1819">
        <v>26.01</v>
      </c>
      <c r="I39" s="665"/>
      <c r="J39" s="753"/>
      <c r="K39" s="281"/>
      <c r="L39" s="281"/>
      <c r="M39" s="14"/>
      <c r="N39" s="14"/>
      <c r="O39" s="14"/>
      <c r="P39" s="2185"/>
      <c r="Q39" s="2185"/>
      <c r="R39" s="14"/>
      <c r="S39" s="281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40"/>
      <c r="AH39" s="40"/>
      <c r="AI39" s="14"/>
      <c r="AJ39" s="14"/>
      <c r="AK39" s="1780"/>
      <c r="AL39" s="1780"/>
      <c r="AM39" s="1780"/>
      <c r="AN39" s="40"/>
      <c r="AO39" s="1780"/>
      <c r="AP39" s="40"/>
      <c r="AQ39" s="1845"/>
      <c r="AR39" s="1845"/>
      <c r="AS39" s="1780"/>
      <c r="AT39" s="1780"/>
      <c r="AU39" s="1780"/>
      <c r="AV39" s="1780"/>
      <c r="AW39" s="1780"/>
      <c r="AX39" s="1851"/>
      <c r="AY39" s="40"/>
      <c r="AZ39" s="204"/>
      <c r="BA39" s="204"/>
      <c r="BB39" s="204"/>
      <c r="BC39" s="1884"/>
      <c r="BD39" s="204"/>
      <c r="BE39" s="1780"/>
      <c r="BF39" s="1881"/>
      <c r="BG39" s="1887"/>
      <c r="BH39" s="1786"/>
      <c r="BI39" s="1780"/>
      <c r="BJ39" s="1780"/>
      <c r="BK39" s="40"/>
      <c r="BL39" s="1780"/>
      <c r="BM39" s="1780"/>
      <c r="BN39" s="1851"/>
      <c r="BO39" s="756"/>
      <c r="BP39" s="766"/>
      <c r="BQ39" s="766"/>
      <c r="BR39" s="766"/>
      <c r="BS39" s="785"/>
      <c r="BT39" s="782"/>
      <c r="BU39" s="384"/>
      <c r="BV39" s="1780"/>
      <c r="BW39" s="1786"/>
      <c r="BX39" s="1780"/>
      <c r="BY39" s="1780"/>
      <c r="BZ39" s="1780"/>
      <c r="CA39" s="1780"/>
      <c r="CB39" s="1780"/>
      <c r="CC39" s="1780"/>
      <c r="CD39" s="1780"/>
      <c r="CE39" s="1780"/>
      <c r="CF39" s="1780"/>
      <c r="CG39" s="1780"/>
      <c r="CH39" s="1780"/>
      <c r="CI39" s="1780"/>
      <c r="CJ39" s="1780"/>
      <c r="CK39" s="1780"/>
      <c r="CL39" s="1780"/>
    </row>
    <row r="40" spans="1:90" ht="23" customHeight="1" x14ac:dyDescent="0.2">
      <c r="A40" s="13"/>
      <c r="B40" s="1818">
        <v>36</v>
      </c>
      <c r="C40" s="2186" t="s">
        <v>112</v>
      </c>
      <c r="D40" s="764" t="s">
        <v>106</v>
      </c>
      <c r="E40" s="2195" t="s">
        <v>63</v>
      </c>
      <c r="F40" s="2195" t="s">
        <v>63</v>
      </c>
      <c r="G40" s="2195" t="s">
        <v>63</v>
      </c>
      <c r="H40" s="2194">
        <v>26.43</v>
      </c>
      <c r="I40" s="2197"/>
      <c r="J40" s="753"/>
      <c r="K40" s="281"/>
      <c r="L40" s="281"/>
      <c r="M40" s="14"/>
      <c r="N40" s="14"/>
      <c r="O40" s="14"/>
      <c r="P40" s="2185"/>
      <c r="Q40" s="2185"/>
      <c r="R40" s="14"/>
      <c r="S40" s="281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40"/>
      <c r="AH40" s="40"/>
      <c r="AI40" s="14"/>
      <c r="AJ40" s="14"/>
      <c r="AK40" s="1780"/>
      <c r="AL40" s="1780"/>
      <c r="AM40" s="1780"/>
      <c r="AN40" s="40"/>
      <c r="AO40" s="1780"/>
      <c r="AP40" s="40"/>
      <c r="AQ40" s="1845"/>
      <c r="AR40" s="1845"/>
      <c r="AS40" s="1780"/>
      <c r="AT40" s="1780"/>
      <c r="AU40" s="1780"/>
      <c r="AV40" s="1780"/>
      <c r="AW40" s="1780"/>
      <c r="AX40" s="1851"/>
      <c r="AY40" s="40"/>
      <c r="AZ40" s="204"/>
      <c r="BA40" s="204"/>
      <c r="BB40" s="204"/>
      <c r="BC40" s="1884"/>
      <c r="BD40" s="204"/>
      <c r="BE40" s="1780"/>
      <c r="BF40" s="1881"/>
      <c r="BG40" s="1888"/>
      <c r="BH40" s="1786"/>
      <c r="BI40" s="1780"/>
      <c r="BJ40" s="1780"/>
      <c r="BK40" s="40"/>
      <c r="BL40" s="1780"/>
      <c r="BM40" s="1780"/>
      <c r="BN40" s="1851"/>
      <c r="BO40" s="756"/>
      <c r="BP40" s="757"/>
      <c r="BQ40" s="757"/>
      <c r="BR40" s="757"/>
      <c r="BS40" s="780"/>
      <c r="BT40" s="791"/>
      <c r="BU40" s="384"/>
      <c r="BV40" s="1780"/>
      <c r="BW40" s="1786"/>
      <c r="BX40" s="1780"/>
      <c r="BY40" s="1780"/>
      <c r="BZ40" s="1780"/>
      <c r="CA40" s="1780"/>
      <c r="CB40" s="1780"/>
      <c r="CC40" s="1780"/>
      <c r="CD40" s="1780"/>
      <c r="CE40" s="1780"/>
      <c r="CF40" s="1780"/>
      <c r="CG40" s="1780"/>
      <c r="CH40" s="1780"/>
      <c r="CI40" s="1780"/>
      <c r="CJ40" s="1780"/>
      <c r="CK40" s="1780"/>
      <c r="CL40" s="1780"/>
    </row>
    <row r="41" spans="1:90" ht="23" customHeight="1" x14ac:dyDescent="0.15">
      <c r="A41" s="13"/>
      <c r="B41" s="1818">
        <v>37</v>
      </c>
      <c r="C41" s="2198" t="s">
        <v>412</v>
      </c>
      <c r="D41" s="2199"/>
      <c r="E41" s="2200" t="s">
        <v>63</v>
      </c>
      <c r="F41" s="2200" t="s">
        <v>63</v>
      </c>
      <c r="G41" s="2200" t="s">
        <v>63</v>
      </c>
      <c r="H41" s="2194">
        <v>27</v>
      </c>
      <c r="I41" s="2197"/>
      <c r="J41" s="637"/>
      <c r="K41" s="281"/>
      <c r="L41" s="281"/>
      <c r="M41" s="14"/>
      <c r="N41" s="14"/>
      <c r="O41" s="14"/>
      <c r="P41" s="2185"/>
      <c r="Q41" s="2185"/>
      <c r="R41" s="14"/>
      <c r="S41" s="281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40"/>
      <c r="AH41" s="40"/>
      <c r="AI41" s="14"/>
      <c r="AJ41" s="14"/>
      <c r="AK41" s="1780"/>
      <c r="AL41" s="1780"/>
      <c r="AM41" s="1780"/>
      <c r="AN41" s="40"/>
      <c r="AO41" s="1780"/>
      <c r="AP41" s="40"/>
      <c r="AQ41" s="1845"/>
      <c r="AR41" s="1845"/>
      <c r="AS41" s="1780"/>
      <c r="AT41" s="1780"/>
      <c r="AU41" s="1780"/>
      <c r="AV41" s="1780"/>
      <c r="AW41" s="1780"/>
      <c r="AX41" s="1851"/>
      <c r="AY41" s="40"/>
      <c r="AZ41" s="204"/>
      <c r="BA41" s="204"/>
      <c r="BB41" s="204"/>
      <c r="BC41" s="1885"/>
      <c r="BD41" s="204"/>
      <c r="BE41" s="1780"/>
      <c r="BF41" s="1545"/>
      <c r="BG41" s="1786"/>
      <c r="BH41" s="1786"/>
      <c r="BI41" s="1780"/>
      <c r="BJ41" s="1780"/>
      <c r="BK41" s="40"/>
      <c r="BL41" s="1780"/>
      <c r="BM41" s="1780"/>
      <c r="BN41" s="1851"/>
      <c r="BO41" s="756"/>
      <c r="BP41" s="757"/>
      <c r="BQ41" s="757"/>
      <c r="BR41" s="757"/>
      <c r="BS41" s="788"/>
      <c r="BT41" s="791"/>
      <c r="BU41" s="384"/>
      <c r="BV41" s="1780"/>
      <c r="BW41" s="1786"/>
      <c r="BX41" s="1780"/>
      <c r="BY41" s="1780"/>
      <c r="BZ41" s="1780"/>
      <c r="CA41" s="1780"/>
      <c r="CB41" s="1780"/>
      <c r="CC41" s="1780"/>
      <c r="CD41" s="1780"/>
      <c r="CE41" s="1780"/>
      <c r="CF41" s="1780"/>
      <c r="CG41" s="1780"/>
      <c r="CH41" s="1780"/>
      <c r="CI41" s="1780"/>
      <c r="CJ41" s="1780"/>
      <c r="CK41" s="1780"/>
      <c r="CL41" s="1780"/>
    </row>
    <row r="42" spans="1:90" ht="23" customHeight="1" x14ac:dyDescent="0.15">
      <c r="A42" s="13"/>
      <c r="B42" s="1818">
        <v>38</v>
      </c>
      <c r="C42" s="2196" t="s">
        <v>403</v>
      </c>
      <c r="D42" s="2195" t="s">
        <v>63</v>
      </c>
      <c r="E42" s="2195" t="s">
        <v>63</v>
      </c>
      <c r="F42" s="2195" t="s">
        <v>63</v>
      </c>
      <c r="G42" s="771" t="s">
        <v>68</v>
      </c>
      <c r="H42" s="2194">
        <v>27.08</v>
      </c>
      <c r="I42" s="2197"/>
      <c r="J42" s="637"/>
      <c r="K42" s="281"/>
      <c r="L42" s="281"/>
      <c r="M42" s="14"/>
      <c r="N42" s="14"/>
      <c r="O42" s="14"/>
      <c r="P42" s="2185"/>
      <c r="Q42" s="2185"/>
      <c r="R42" s="14"/>
      <c r="S42" s="281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40"/>
      <c r="AH42" s="40"/>
      <c r="AI42" s="14"/>
      <c r="AJ42" s="14"/>
      <c r="AK42" s="14"/>
      <c r="AL42" s="14"/>
      <c r="AM42" s="1780"/>
      <c r="AN42" s="40"/>
      <c r="AO42" s="1780"/>
      <c r="AP42" s="40"/>
      <c r="AQ42" s="1845"/>
      <c r="AR42" s="1845"/>
      <c r="AS42" s="14"/>
      <c r="AT42" s="14"/>
      <c r="AU42" s="14"/>
      <c r="AV42" s="14"/>
      <c r="AW42" s="14"/>
      <c r="AX42" s="1851"/>
      <c r="AY42" s="40"/>
      <c r="AZ42" s="204"/>
      <c r="BA42" s="204"/>
      <c r="BB42" s="204"/>
      <c r="BC42" s="1885"/>
      <c r="BD42" s="204"/>
      <c r="BE42" s="14"/>
      <c r="BF42" s="1545"/>
      <c r="BG42" s="1786"/>
      <c r="BH42" s="1786"/>
      <c r="BI42" s="14"/>
      <c r="BJ42" s="14"/>
      <c r="BK42" s="40"/>
      <c r="BL42" s="14"/>
      <c r="BM42" s="14"/>
      <c r="BN42" s="1851"/>
      <c r="BO42" s="1780"/>
      <c r="BP42" s="1780"/>
      <c r="BQ42" s="1786"/>
      <c r="BR42" s="1786"/>
      <c r="BS42" s="1780"/>
      <c r="BT42" s="1780"/>
      <c r="BU42" s="1780"/>
      <c r="BV42" s="14"/>
      <c r="BW42" s="1786"/>
      <c r="BX42" s="1780"/>
      <c r="BY42" s="1780"/>
      <c r="BZ42" s="1780"/>
      <c r="CA42" s="1780"/>
      <c r="CB42" s="1780"/>
      <c r="CC42" s="1780"/>
      <c r="CD42" s="1780"/>
      <c r="CE42" s="1780"/>
      <c r="CF42" s="1780"/>
      <c r="CG42" s="1780"/>
      <c r="CH42" s="1780"/>
      <c r="CI42" s="1780"/>
      <c r="CJ42" s="1780"/>
      <c r="CK42" s="1780"/>
      <c r="CL42" s="1780"/>
    </row>
    <row r="43" spans="1:90" ht="29" customHeight="1" x14ac:dyDescent="0.2">
      <c r="A43" s="13"/>
      <c r="B43" s="1818">
        <v>39</v>
      </c>
      <c r="C43" s="1418" t="s">
        <v>416</v>
      </c>
      <c r="D43" s="2195" t="s">
        <v>63</v>
      </c>
      <c r="E43" s="2195" t="s">
        <v>63</v>
      </c>
      <c r="F43" s="2195" t="s">
        <v>63</v>
      </c>
      <c r="G43" s="771" t="s">
        <v>68</v>
      </c>
      <c r="H43" s="1819">
        <v>27.86</v>
      </c>
      <c r="I43" s="665"/>
      <c r="J43" s="753"/>
      <c r="K43" s="281"/>
      <c r="L43" s="281"/>
      <c r="M43" s="14"/>
      <c r="N43" s="14"/>
      <c r="O43" s="14"/>
      <c r="P43" s="2185"/>
      <c r="Q43" s="2185"/>
      <c r="R43" s="14"/>
      <c r="S43" s="281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40"/>
      <c r="AH43" s="40"/>
      <c r="AI43" s="14"/>
      <c r="AJ43" s="14"/>
      <c r="AK43" s="14"/>
      <c r="AL43" s="14"/>
      <c r="AM43" s="1780"/>
      <c r="AN43" s="40"/>
      <c r="AO43" s="1780"/>
      <c r="AP43" s="40"/>
      <c r="AQ43" s="1845"/>
      <c r="AR43" s="1845"/>
      <c r="AS43" s="14"/>
      <c r="AT43" s="14"/>
      <c r="AU43" s="14"/>
      <c r="AV43" s="14"/>
      <c r="AW43" s="14"/>
      <c r="AX43" s="1851"/>
      <c r="AY43" s="40"/>
      <c r="AZ43" s="204"/>
      <c r="BA43" s="204"/>
      <c r="BB43" s="204"/>
      <c r="BC43" s="1885"/>
      <c r="BD43" s="204"/>
      <c r="BE43" s="14"/>
      <c r="BF43" s="1545"/>
      <c r="BG43" s="1786"/>
      <c r="BH43" s="1786"/>
      <c r="BI43" s="14"/>
      <c r="BJ43" s="14"/>
      <c r="BK43" s="40"/>
      <c r="BL43" s="14"/>
      <c r="BM43" s="14"/>
      <c r="BN43" s="1851"/>
      <c r="BO43" s="14"/>
      <c r="BP43" s="14"/>
      <c r="BQ43" s="1786"/>
      <c r="BR43" s="1786"/>
      <c r="BS43" s="14"/>
      <c r="BT43" s="14"/>
      <c r="BU43" s="14"/>
      <c r="BV43" s="14"/>
      <c r="BW43" s="1786"/>
      <c r="BX43" s="1780"/>
      <c r="BY43" s="1780"/>
      <c r="BZ43" s="1780"/>
      <c r="CA43" s="1780"/>
      <c r="CB43" s="1780"/>
      <c r="CC43" s="1780"/>
      <c r="CD43" s="1780"/>
      <c r="CE43" s="1780"/>
      <c r="CF43" s="1780"/>
      <c r="CG43" s="1780"/>
      <c r="CH43" s="1780"/>
      <c r="CI43" s="1780"/>
      <c r="CJ43" s="1780"/>
      <c r="CK43" s="1780"/>
      <c r="CL43" s="1780"/>
    </row>
    <row r="44" spans="1:90" ht="29" customHeight="1" x14ac:dyDescent="0.2">
      <c r="A44" s="13"/>
      <c r="B44" s="1818">
        <v>40</v>
      </c>
      <c r="C44" s="2188" t="s">
        <v>102</v>
      </c>
      <c r="D44" s="764" t="s">
        <v>113</v>
      </c>
      <c r="E44" s="2195" t="s">
        <v>63</v>
      </c>
      <c r="F44" s="2195" t="s">
        <v>63</v>
      </c>
      <c r="G44" s="2195" t="s">
        <v>63</v>
      </c>
      <c r="H44" s="1819">
        <v>28.58</v>
      </c>
      <c r="I44" s="665"/>
      <c r="J44" s="753"/>
      <c r="K44" s="281"/>
      <c r="L44" s="281"/>
      <c r="M44" s="14"/>
      <c r="N44" s="14"/>
      <c r="O44" s="14"/>
      <c r="P44" s="2185"/>
      <c r="Q44" s="2185"/>
      <c r="R44" s="14"/>
      <c r="S44" s="281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40"/>
      <c r="AH44" s="40"/>
      <c r="AI44" s="14"/>
      <c r="AJ44" s="14"/>
      <c r="AK44" s="14"/>
      <c r="AL44" s="14"/>
      <c r="AM44" s="1780"/>
      <c r="AN44" s="40"/>
      <c r="AO44" s="1780"/>
      <c r="AP44" s="40"/>
      <c r="AQ44" s="1845"/>
      <c r="AR44" s="1845"/>
      <c r="AS44" s="14"/>
      <c r="AT44" s="14"/>
      <c r="AU44" s="14"/>
      <c r="AV44" s="14"/>
      <c r="AW44" s="14"/>
      <c r="AX44" s="1851"/>
      <c r="AY44" s="40"/>
      <c r="AZ44" s="204"/>
      <c r="BA44" s="204"/>
      <c r="BB44" s="204"/>
      <c r="BC44" s="1885"/>
      <c r="BD44" s="204"/>
      <c r="BE44" s="14"/>
      <c r="BF44" s="1545"/>
      <c r="BG44" s="1786"/>
      <c r="BH44" s="1786"/>
      <c r="BI44" s="14"/>
      <c r="BJ44" s="14"/>
      <c r="BK44" s="40"/>
      <c r="BL44" s="14"/>
      <c r="BM44" s="14"/>
      <c r="BN44" s="1851"/>
      <c r="BO44" s="14"/>
      <c r="BP44" s="14"/>
      <c r="BQ44" s="1786"/>
      <c r="BR44" s="1786"/>
      <c r="BS44" s="14"/>
      <c r="BT44" s="14"/>
      <c r="BU44" s="14"/>
      <c r="BV44" s="14"/>
      <c r="BW44" s="1786"/>
      <c r="BX44" s="1780"/>
      <c r="BY44" s="1780"/>
      <c r="BZ44" s="1780"/>
      <c r="CA44" s="1780"/>
      <c r="CB44" s="1780"/>
      <c r="CC44" s="1780"/>
      <c r="CD44" s="1780"/>
      <c r="CE44" s="1780"/>
      <c r="CF44" s="1780"/>
      <c r="CG44" s="1780"/>
      <c r="CH44" s="1780"/>
      <c r="CI44" s="1780"/>
      <c r="CJ44" s="1780"/>
      <c r="CK44" s="1780"/>
      <c r="CL44" s="1780"/>
    </row>
    <row r="45" spans="1:90" ht="29" customHeight="1" x14ac:dyDescent="0.15">
      <c r="A45" s="13"/>
      <c r="B45" s="1818">
        <v>41</v>
      </c>
      <c r="C45" s="2189" t="s">
        <v>400</v>
      </c>
      <c r="D45" s="2195" t="s">
        <v>63</v>
      </c>
      <c r="E45" s="2195" t="s">
        <v>63</v>
      </c>
      <c r="F45" s="2195" t="s">
        <v>63</v>
      </c>
      <c r="G45" s="777" t="s">
        <v>105</v>
      </c>
      <c r="H45" s="1819">
        <v>28.67</v>
      </c>
      <c r="I45" s="665"/>
      <c r="J45" s="637"/>
      <c r="K45" s="281"/>
      <c r="L45" s="281"/>
      <c r="M45" s="14"/>
      <c r="N45" s="14"/>
      <c r="O45" s="14"/>
      <c r="P45" s="2185"/>
      <c r="Q45" s="2185"/>
      <c r="R45" s="14"/>
      <c r="S45" s="281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40"/>
      <c r="AH45" s="40"/>
      <c r="AI45" s="14"/>
      <c r="AJ45" s="14"/>
      <c r="AK45" s="14"/>
      <c r="AL45" s="14"/>
      <c r="AM45" s="1780"/>
      <c r="AN45" s="40"/>
      <c r="AO45" s="1780"/>
      <c r="AP45" s="40"/>
      <c r="AQ45" s="1845"/>
      <c r="AR45" s="1845"/>
      <c r="AS45" s="14"/>
      <c r="AT45" s="14"/>
      <c r="AU45" s="14"/>
      <c r="AV45" s="14"/>
      <c r="AW45" s="14"/>
      <c r="AX45" s="1851"/>
      <c r="AY45" s="40"/>
      <c r="AZ45" s="204"/>
      <c r="BA45" s="204"/>
      <c r="BB45" s="204"/>
      <c r="BC45" s="1885"/>
      <c r="BD45" s="204"/>
      <c r="BE45" s="14"/>
      <c r="BF45" s="1545"/>
      <c r="BG45" s="1786"/>
      <c r="BH45" s="1786"/>
      <c r="BI45" s="14"/>
      <c r="BJ45" s="14"/>
      <c r="BK45" s="40"/>
      <c r="BL45" s="14"/>
      <c r="BM45" s="14"/>
      <c r="BN45" s="1851"/>
      <c r="BO45" s="14"/>
      <c r="BP45" s="14"/>
      <c r="BQ45" s="1786"/>
      <c r="BR45" s="1786"/>
      <c r="BS45" s="14"/>
      <c r="BT45" s="14"/>
      <c r="BU45" s="14"/>
      <c r="BV45" s="14"/>
      <c r="BW45" s="1786"/>
      <c r="BX45" s="1780"/>
      <c r="BY45" s="1780"/>
      <c r="BZ45" s="1780"/>
      <c r="CA45" s="1780"/>
      <c r="CB45" s="1780"/>
      <c r="CC45" s="1780"/>
      <c r="CD45" s="1780"/>
      <c r="CE45" s="1780"/>
      <c r="CF45" s="1780"/>
      <c r="CG45" s="1780"/>
      <c r="CH45" s="1780"/>
      <c r="CI45" s="1780"/>
      <c r="CJ45" s="1780"/>
      <c r="CK45" s="1780"/>
      <c r="CL45" s="1780"/>
    </row>
    <row r="46" spans="1:90" ht="29" customHeight="1" x14ac:dyDescent="0.2">
      <c r="A46" s="13"/>
      <c r="B46" s="1820">
        <v>42</v>
      </c>
      <c r="C46" s="2207" t="s">
        <v>417</v>
      </c>
      <c r="D46" s="2205" t="s">
        <v>63</v>
      </c>
      <c r="E46" s="2205" t="s">
        <v>63</v>
      </c>
      <c r="F46" s="2205" t="s">
        <v>63</v>
      </c>
      <c r="G46" s="2204" t="s">
        <v>72</v>
      </c>
      <c r="H46" s="2206">
        <v>28.68</v>
      </c>
      <c r="I46" s="665"/>
      <c r="J46" s="753"/>
      <c r="K46" s="281"/>
      <c r="L46" s="281"/>
      <c r="M46" s="14"/>
      <c r="N46" s="14"/>
      <c r="O46" s="14"/>
      <c r="P46" s="2185"/>
      <c r="Q46" s="2185"/>
      <c r="R46" s="14"/>
      <c r="S46" s="281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40"/>
      <c r="AH46" s="40"/>
      <c r="AI46" s="14"/>
      <c r="AJ46" s="14"/>
      <c r="AK46" s="14"/>
      <c r="AL46" s="14"/>
      <c r="AM46" s="1780"/>
      <c r="AN46" s="40"/>
      <c r="AO46" s="1780"/>
      <c r="AP46" s="40"/>
      <c r="AQ46" s="1845"/>
      <c r="AR46" s="1845"/>
      <c r="AS46" s="14"/>
      <c r="AT46" s="14"/>
      <c r="AU46" s="14"/>
      <c r="AV46" s="14"/>
      <c r="AW46" s="14"/>
      <c r="AX46" s="1851"/>
      <c r="AY46" s="40"/>
      <c r="AZ46" s="204"/>
      <c r="BA46" s="204"/>
      <c r="BB46" s="204"/>
      <c r="BC46" s="1885"/>
      <c r="BD46" s="204"/>
      <c r="BE46" s="14"/>
      <c r="BF46" s="1545"/>
      <c r="BG46" s="1786"/>
      <c r="BH46" s="1786"/>
      <c r="BI46" s="14"/>
      <c r="BJ46" s="14"/>
      <c r="BK46" s="40"/>
      <c r="BL46" s="14"/>
      <c r="BM46" s="14"/>
      <c r="BN46" s="1851"/>
      <c r="BO46" s="14"/>
      <c r="BP46" s="14"/>
      <c r="BQ46" s="1786"/>
      <c r="BR46" s="1786"/>
      <c r="BS46" s="14"/>
      <c r="BT46" s="14"/>
      <c r="BU46" s="14"/>
      <c r="BV46" s="14"/>
      <c r="BW46" s="1786"/>
      <c r="BX46" s="1780"/>
      <c r="BY46" s="1780"/>
      <c r="BZ46" s="1780"/>
      <c r="CA46" s="1780"/>
      <c r="CB46" s="1780"/>
      <c r="CC46" s="1780"/>
      <c r="CD46" s="1780"/>
      <c r="CE46" s="1780"/>
      <c r="CF46" s="1780"/>
      <c r="CG46" s="1780"/>
      <c r="CH46" s="1780"/>
      <c r="CI46" s="1780"/>
      <c r="CJ46" s="1780"/>
      <c r="CK46" s="1780"/>
      <c r="CL46" s="1780"/>
    </row>
    <row r="47" spans="1:90" ht="29" customHeight="1" x14ac:dyDescent="0.3">
      <c r="A47" s="13"/>
      <c r="B47" s="806"/>
      <c r="C47" s="393"/>
      <c r="D47" s="807"/>
      <c r="E47" s="179"/>
      <c r="F47" s="179"/>
      <c r="G47" s="808"/>
      <c r="H47" s="1814"/>
      <c r="I47" s="1814"/>
      <c r="J47" s="281"/>
      <c r="K47" s="281"/>
      <c r="L47" s="281"/>
      <c r="M47" s="14"/>
      <c r="N47" s="14"/>
      <c r="O47" s="14"/>
      <c r="P47" s="2185"/>
      <c r="Q47" s="2185"/>
      <c r="R47" s="14"/>
      <c r="S47" s="281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40"/>
      <c r="AH47" s="40"/>
      <c r="AI47" s="14"/>
      <c r="AJ47" s="14"/>
      <c r="AK47" s="14"/>
      <c r="AL47" s="14"/>
      <c r="AM47" s="1780"/>
      <c r="AN47" s="40"/>
      <c r="AO47" s="1780"/>
      <c r="AP47" s="40"/>
      <c r="AQ47" s="1845"/>
      <c r="AR47" s="1845"/>
      <c r="AS47" s="14"/>
      <c r="AT47" s="14"/>
      <c r="AU47" s="14"/>
      <c r="AV47" s="14"/>
      <c r="AW47" s="14"/>
      <c r="AX47" s="1851"/>
      <c r="AY47" s="40"/>
      <c r="AZ47" s="204"/>
      <c r="BA47" s="204"/>
      <c r="BB47" s="204"/>
      <c r="BC47" s="1885"/>
      <c r="BD47" s="204"/>
      <c r="BE47" s="14"/>
      <c r="BF47" s="1545"/>
      <c r="BG47" s="1786"/>
      <c r="BH47" s="1786"/>
      <c r="BI47" s="14"/>
      <c r="BJ47" s="14"/>
      <c r="BK47" s="40"/>
      <c r="BL47" s="14"/>
      <c r="BM47" s="14"/>
      <c r="BN47" s="1851"/>
      <c r="BO47" s="14"/>
      <c r="BP47" s="14"/>
      <c r="BQ47" s="1786"/>
      <c r="BR47" s="1786"/>
      <c r="BS47" s="14"/>
      <c r="BT47" s="14"/>
      <c r="BU47" s="14"/>
      <c r="BV47" s="14"/>
      <c r="BW47" s="1786"/>
      <c r="BX47" s="1780"/>
      <c r="BY47" s="1780"/>
      <c r="BZ47" s="1780"/>
      <c r="CA47" s="1780"/>
      <c r="CB47" s="1780"/>
      <c r="CC47" s="1780"/>
      <c r="CD47" s="1780"/>
      <c r="CE47" s="1780"/>
      <c r="CF47" s="1780"/>
      <c r="CG47" s="1780"/>
      <c r="CH47" s="1780"/>
      <c r="CI47" s="1780"/>
      <c r="CJ47" s="1780"/>
      <c r="CK47" s="1780"/>
      <c r="CL47" s="1780"/>
    </row>
    <row r="48" spans="1:90" ht="29" customHeight="1" x14ac:dyDescent="0.3">
      <c r="A48" s="13"/>
      <c r="B48" s="806"/>
      <c r="C48" s="393"/>
      <c r="D48" s="807"/>
      <c r="E48" s="808"/>
      <c r="F48" s="179"/>
      <c r="G48" s="808"/>
      <c r="H48" s="665"/>
      <c r="I48" s="665"/>
      <c r="J48" s="281"/>
      <c r="K48" s="281"/>
      <c r="L48" s="281"/>
      <c r="M48" s="14"/>
      <c r="N48" s="14"/>
      <c r="O48" s="14"/>
      <c r="P48" s="2185"/>
      <c r="Q48" s="2185"/>
      <c r="R48" s="14"/>
      <c r="S48" s="281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40"/>
      <c r="AH48" s="40"/>
      <c r="AI48" s="14"/>
      <c r="AJ48" s="14"/>
      <c r="AK48" s="14"/>
      <c r="AL48" s="14"/>
      <c r="AM48" s="1780"/>
      <c r="AN48" s="40"/>
      <c r="AO48" s="1780"/>
      <c r="AP48" s="40"/>
      <c r="AQ48" s="1845"/>
      <c r="AR48" s="1845"/>
      <c r="AS48" s="14"/>
      <c r="AT48" s="14"/>
      <c r="AU48" s="14"/>
      <c r="AV48" s="14"/>
      <c r="AW48" s="14"/>
      <c r="AX48" s="1851"/>
      <c r="AY48" s="40"/>
      <c r="AZ48" s="204"/>
      <c r="BA48" s="204"/>
      <c r="BB48" s="204"/>
      <c r="BC48" s="1885"/>
      <c r="BD48" s="204"/>
      <c r="BE48" s="14"/>
      <c r="BF48" s="1545"/>
      <c r="BG48" s="1786"/>
      <c r="BH48" s="1786"/>
      <c r="BI48" s="14"/>
      <c r="BJ48" s="14"/>
      <c r="BK48" s="40"/>
      <c r="BL48" s="14"/>
      <c r="BM48" s="14"/>
      <c r="BN48" s="1851"/>
      <c r="BO48" s="14"/>
      <c r="BP48" s="14"/>
      <c r="BQ48" s="1786"/>
      <c r="BR48" s="1786"/>
      <c r="BS48" s="14"/>
      <c r="BT48" s="14"/>
      <c r="BU48" s="14"/>
      <c r="BV48" s="14"/>
      <c r="BW48" s="1786"/>
      <c r="BX48" s="1780"/>
      <c r="BY48" s="1780"/>
      <c r="BZ48" s="1780"/>
      <c r="CA48" s="1780"/>
      <c r="CB48" s="1780"/>
      <c r="CC48" s="1780"/>
      <c r="CD48" s="1780"/>
      <c r="CE48" s="1780"/>
      <c r="CF48" s="1780"/>
      <c r="CG48" s="1780"/>
      <c r="CH48" s="1780"/>
      <c r="CI48" s="1780"/>
      <c r="CJ48" s="1780"/>
      <c r="CK48" s="1780"/>
      <c r="CL48" s="1780"/>
    </row>
    <row r="49" spans="1:90" ht="29" customHeight="1" x14ac:dyDescent="0.15">
      <c r="A49" s="13"/>
      <c r="B49" s="281"/>
      <c r="C49" s="14"/>
      <c r="D49" s="14"/>
      <c r="E49" s="281"/>
      <c r="F49" s="281"/>
      <c r="G49" s="281"/>
      <c r="H49" s="281"/>
      <c r="I49" s="281"/>
      <c r="J49" s="281"/>
      <c r="K49" s="281"/>
      <c r="L49" s="281"/>
      <c r="M49" s="14"/>
      <c r="N49" s="14"/>
      <c r="O49" s="14"/>
      <c r="P49" s="2185"/>
      <c r="Q49" s="2185"/>
      <c r="R49" s="14"/>
      <c r="S49" s="281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40"/>
      <c r="AH49" s="40"/>
      <c r="AI49" s="14"/>
      <c r="AJ49" s="14"/>
      <c r="AK49" s="14"/>
      <c r="AL49" s="14"/>
      <c r="AM49" s="1780"/>
      <c r="AN49" s="40"/>
      <c r="AO49" s="1780"/>
      <c r="AP49" s="40"/>
      <c r="AQ49" s="1845"/>
      <c r="AR49" s="1845"/>
      <c r="AS49" s="14"/>
      <c r="AT49" s="14"/>
      <c r="AU49" s="14"/>
      <c r="AV49" s="14"/>
      <c r="AW49" s="14"/>
      <c r="AX49" s="1851"/>
      <c r="AY49" s="40"/>
      <c r="AZ49" s="204"/>
      <c r="BA49" s="204"/>
      <c r="BB49" s="204"/>
      <c r="BC49" s="1885"/>
      <c r="BD49" s="204"/>
      <c r="BE49" s="14"/>
      <c r="BF49" s="1545"/>
      <c r="BG49" s="1786"/>
      <c r="BH49" s="1786"/>
      <c r="BI49" s="14"/>
      <c r="BJ49" s="14"/>
      <c r="BK49" s="40"/>
      <c r="BL49" s="14"/>
      <c r="BM49" s="14"/>
      <c r="BN49" s="1851"/>
      <c r="BO49" s="14"/>
      <c r="BP49" s="14"/>
      <c r="BQ49" s="1786"/>
      <c r="BR49" s="1786"/>
      <c r="BS49" s="14"/>
      <c r="BT49" s="14"/>
      <c r="BU49" s="14"/>
      <c r="BV49" s="14"/>
      <c r="BW49" s="1786"/>
      <c r="BX49" s="1780"/>
      <c r="BY49" s="1780"/>
      <c r="BZ49" s="1780"/>
      <c r="CA49" s="1780"/>
      <c r="CB49" s="1780"/>
      <c r="CC49" s="1780"/>
      <c r="CD49" s="1780"/>
      <c r="CE49" s="1780"/>
      <c r="CF49" s="1780"/>
      <c r="CG49" s="1780"/>
      <c r="CH49" s="1780"/>
      <c r="CI49" s="1780"/>
      <c r="CJ49" s="1780"/>
      <c r="CK49" s="1780"/>
      <c r="CL49" s="1780"/>
    </row>
    <row r="50" spans="1:90" ht="29" customHeight="1" x14ac:dyDescent="0.15">
      <c r="A50" s="13"/>
      <c r="B50" s="281"/>
      <c r="C50" s="14"/>
      <c r="D50" s="14"/>
      <c r="E50" s="281"/>
      <c r="F50" s="281"/>
      <c r="G50" s="281"/>
      <c r="H50" s="281"/>
      <c r="I50" s="281"/>
      <c r="J50" s="281"/>
      <c r="K50" s="281"/>
      <c r="L50" s="281"/>
      <c r="M50" s="14"/>
      <c r="N50" s="14"/>
      <c r="O50" s="14"/>
      <c r="P50" s="2185"/>
      <c r="Q50" s="2185"/>
      <c r="R50" s="14"/>
      <c r="S50" s="281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40"/>
      <c r="AH50" s="40"/>
      <c r="AI50" s="14"/>
      <c r="AJ50" s="14"/>
      <c r="AK50" s="14"/>
      <c r="AL50" s="14"/>
      <c r="AM50" s="1780"/>
      <c r="AN50" s="40"/>
      <c r="AO50" s="1780"/>
      <c r="AP50" s="40"/>
      <c r="AQ50" s="203"/>
      <c r="AR50" s="203"/>
      <c r="AS50" s="14"/>
      <c r="AT50" s="14"/>
      <c r="AU50" s="14"/>
      <c r="AV50" s="14"/>
      <c r="AW50" s="14"/>
      <c r="AX50" s="1851"/>
      <c r="AY50" s="40"/>
      <c r="AZ50" s="204"/>
      <c r="BA50" s="204"/>
      <c r="BB50" s="204"/>
      <c r="BC50" s="1885"/>
      <c r="BD50" s="204"/>
      <c r="BE50" s="14"/>
      <c r="BF50" s="1545"/>
      <c r="BG50" s="1786"/>
      <c r="BH50" s="1786"/>
      <c r="BI50" s="14"/>
      <c r="BJ50" s="14"/>
      <c r="BK50" s="40"/>
      <c r="BL50" s="14"/>
      <c r="BM50" s="14"/>
      <c r="BN50" s="1851"/>
      <c r="BO50" s="14"/>
      <c r="BP50" s="14"/>
      <c r="BQ50" s="1786"/>
      <c r="BR50" s="1786"/>
      <c r="BS50" s="14"/>
      <c r="BT50" s="14"/>
      <c r="BU50" s="14"/>
      <c r="BV50" s="14"/>
      <c r="BW50" s="1786"/>
      <c r="BX50" s="1780"/>
      <c r="BY50" s="1780"/>
      <c r="BZ50" s="1780"/>
      <c r="CA50" s="1780"/>
      <c r="CB50" s="1780"/>
      <c r="CC50" s="1780"/>
      <c r="CD50" s="1780"/>
      <c r="CE50" s="1780"/>
      <c r="CF50" s="1780"/>
      <c r="CG50" s="1780"/>
      <c r="CH50" s="1780"/>
      <c r="CI50" s="1780"/>
      <c r="CJ50" s="1780"/>
      <c r="CK50" s="1780"/>
      <c r="CL50" s="1780"/>
    </row>
    <row r="51" spans="1:90" ht="29" customHeight="1" x14ac:dyDescent="0.15">
      <c r="A51" s="13"/>
      <c r="B51" s="281"/>
      <c r="C51" s="14"/>
      <c r="D51" s="14"/>
      <c r="E51" s="281"/>
      <c r="F51" s="281"/>
      <c r="G51" s="281"/>
      <c r="H51" s="281"/>
      <c r="I51" s="281"/>
      <c r="J51" s="281"/>
      <c r="K51" s="281"/>
      <c r="L51" s="281"/>
      <c r="M51" s="14"/>
      <c r="N51" s="14"/>
      <c r="O51" s="14"/>
      <c r="P51" s="2185"/>
      <c r="Q51" s="2185"/>
      <c r="R51" s="14"/>
      <c r="S51" s="281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40"/>
      <c r="AH51" s="40"/>
      <c r="AI51" s="14"/>
      <c r="AJ51" s="14"/>
      <c r="AK51" s="14"/>
      <c r="AL51" s="14"/>
      <c r="AM51" s="1780"/>
      <c r="AN51" s="40"/>
      <c r="AO51" s="1780"/>
      <c r="AP51" s="40"/>
      <c r="AQ51" s="203"/>
      <c r="AR51" s="203"/>
      <c r="AS51" s="14"/>
      <c r="AT51" s="14"/>
      <c r="AU51" s="14"/>
      <c r="AV51" s="14"/>
      <c r="AW51" s="14"/>
      <c r="AX51" s="1851"/>
      <c r="AY51" s="40"/>
      <c r="AZ51" s="204"/>
      <c r="BA51" s="204"/>
      <c r="BB51" s="204"/>
      <c r="BC51" s="1885"/>
      <c r="BD51" s="204"/>
      <c r="BE51" s="14"/>
      <c r="BF51" s="1545"/>
      <c r="BG51" s="1786"/>
      <c r="BH51" s="1786"/>
      <c r="BI51" s="14"/>
      <c r="BJ51" s="14"/>
      <c r="BK51" s="40"/>
      <c r="BL51" s="14"/>
      <c r="BM51" s="14"/>
      <c r="BN51" s="1851"/>
      <c r="BO51" s="14"/>
      <c r="BP51" s="14"/>
      <c r="BQ51" s="1786"/>
      <c r="BR51" s="1786"/>
      <c r="BS51" s="14"/>
      <c r="BT51" s="14"/>
      <c r="BU51" s="14"/>
      <c r="BV51" s="14"/>
      <c r="BW51" s="1786"/>
      <c r="BX51" s="1780"/>
      <c r="BY51" s="1780"/>
      <c r="BZ51" s="1780"/>
      <c r="CA51" s="1780"/>
      <c r="CB51" s="1780"/>
      <c r="CC51" s="1780"/>
      <c r="CD51" s="1780"/>
      <c r="CE51" s="1780"/>
      <c r="CF51" s="1780"/>
      <c r="CG51" s="1780"/>
      <c r="CH51" s="1780"/>
      <c r="CI51" s="1780"/>
      <c r="CJ51" s="1780"/>
      <c r="CK51" s="1780"/>
      <c r="CL51" s="1780"/>
    </row>
    <row r="52" spans="1:90" ht="29" customHeight="1" x14ac:dyDescent="0.15">
      <c r="A52" s="13"/>
      <c r="B52" s="281"/>
      <c r="C52" s="14"/>
      <c r="D52" s="14"/>
      <c r="E52" s="281"/>
      <c r="F52" s="281"/>
      <c r="G52" s="281"/>
      <c r="H52" s="281"/>
      <c r="I52" s="281"/>
      <c r="J52" s="281"/>
      <c r="K52" s="281"/>
      <c r="L52" s="281"/>
      <c r="M52" s="14"/>
      <c r="N52" s="14"/>
      <c r="O52" s="14"/>
      <c r="P52" s="2185"/>
      <c r="Q52" s="2185"/>
      <c r="R52" s="14"/>
      <c r="S52" s="281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40"/>
      <c r="AH52" s="40"/>
      <c r="AI52" s="14"/>
      <c r="AJ52" s="14"/>
      <c r="AK52" s="14"/>
      <c r="AL52" s="14"/>
      <c r="AM52" s="1780"/>
      <c r="AN52" s="40"/>
      <c r="AO52" s="1780"/>
      <c r="AP52" s="40"/>
      <c r="AQ52" s="203"/>
      <c r="AR52" s="203"/>
      <c r="AS52" s="14"/>
      <c r="AT52" s="14"/>
      <c r="AU52" s="14"/>
      <c r="AV52" s="14"/>
      <c r="AW52" s="14"/>
      <c r="AX52" s="1851"/>
      <c r="AY52" s="40"/>
      <c r="AZ52" s="204"/>
      <c r="BA52" s="204"/>
      <c r="BB52" s="204"/>
      <c r="BC52" s="1885"/>
      <c r="BD52" s="204"/>
      <c r="BE52" s="14"/>
      <c r="BF52" s="1545"/>
      <c r="BG52" s="1786"/>
      <c r="BH52" s="1786"/>
      <c r="BI52" s="14"/>
      <c r="BJ52" s="14"/>
      <c r="BK52" s="40"/>
      <c r="BL52" s="14"/>
      <c r="BM52" s="14"/>
      <c r="BN52" s="1851"/>
      <c r="BO52" s="14"/>
      <c r="BP52" s="14"/>
      <c r="BQ52" s="1786"/>
      <c r="BR52" s="1786"/>
      <c r="BS52" s="14"/>
      <c r="BT52" s="14"/>
      <c r="BU52" s="14"/>
      <c r="BV52" s="14"/>
      <c r="BW52" s="1786"/>
      <c r="BX52" s="1780"/>
      <c r="BY52" s="1780"/>
      <c r="BZ52" s="1780"/>
      <c r="CA52" s="1780"/>
      <c r="CB52" s="1780"/>
      <c r="CC52" s="1780"/>
      <c r="CD52" s="1780"/>
      <c r="CE52" s="1780"/>
      <c r="CF52" s="1780"/>
      <c r="CG52" s="1780"/>
      <c r="CH52" s="1780"/>
      <c r="CI52" s="1780"/>
      <c r="CJ52" s="1780"/>
      <c r="CK52" s="1780"/>
      <c r="CL52" s="1780"/>
    </row>
    <row r="53" spans="1:90" ht="29" customHeight="1" x14ac:dyDescent="0.15">
      <c r="A53" s="13"/>
      <c r="B53" s="281"/>
      <c r="C53" s="14"/>
      <c r="D53" s="14"/>
      <c r="E53" s="281"/>
      <c r="F53" s="281"/>
      <c r="G53" s="281"/>
      <c r="H53" s="281"/>
      <c r="I53" s="281"/>
      <c r="J53" s="281"/>
      <c r="K53" s="281"/>
      <c r="L53" s="281"/>
      <c r="M53" s="14"/>
      <c r="N53" s="14"/>
      <c r="O53" s="14"/>
      <c r="P53" s="2185"/>
      <c r="Q53" s="2185"/>
      <c r="R53" s="14"/>
      <c r="S53" s="281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40"/>
      <c r="AH53" s="40"/>
      <c r="AI53" s="14"/>
      <c r="AJ53" s="14"/>
      <c r="AK53" s="14"/>
      <c r="AL53" s="14"/>
      <c r="AM53" s="1780"/>
      <c r="AN53" s="40"/>
      <c r="AO53" s="1780"/>
      <c r="AP53" s="40"/>
      <c r="AQ53" s="203"/>
      <c r="AR53" s="203"/>
      <c r="AS53" s="14"/>
      <c r="AT53" s="14"/>
      <c r="AU53" s="14"/>
      <c r="AV53" s="14"/>
      <c r="AW53" s="14"/>
      <c r="AX53" s="1851"/>
      <c r="AY53" s="40"/>
      <c r="AZ53" s="204"/>
      <c r="BA53" s="204"/>
      <c r="BB53" s="204"/>
      <c r="BC53" s="1885"/>
      <c r="BD53" s="204"/>
      <c r="BE53" s="14"/>
      <c r="BF53" s="1545"/>
      <c r="BG53" s="1786"/>
      <c r="BH53" s="1786"/>
      <c r="BI53" s="14"/>
      <c r="BJ53" s="14"/>
      <c r="BK53" s="40"/>
      <c r="BL53" s="14"/>
      <c r="BM53" s="14"/>
      <c r="BN53" s="1851"/>
      <c r="BO53" s="14"/>
      <c r="BP53" s="14"/>
      <c r="BQ53" s="1786"/>
      <c r="BR53" s="1786"/>
      <c r="BS53" s="14"/>
      <c r="BT53" s="14"/>
      <c r="BU53" s="14"/>
      <c r="BV53" s="14"/>
      <c r="BW53" s="1786"/>
      <c r="BX53" s="1780"/>
      <c r="BY53" s="1780"/>
      <c r="BZ53" s="1780"/>
      <c r="CA53" s="1780"/>
      <c r="CB53" s="1780"/>
      <c r="CC53" s="1780"/>
      <c r="CD53" s="1780"/>
      <c r="CE53" s="1780"/>
      <c r="CF53" s="1780"/>
      <c r="CG53" s="1780"/>
      <c r="CH53" s="1780"/>
      <c r="CI53" s="1780"/>
      <c r="CJ53" s="1780"/>
      <c r="CK53" s="1780"/>
      <c r="CL53" s="1780"/>
    </row>
    <row r="54" spans="1:90" ht="29" customHeight="1" x14ac:dyDescent="0.15">
      <c r="A54" s="13"/>
      <c r="B54" s="281"/>
      <c r="C54" s="14"/>
      <c r="D54" s="14"/>
      <c r="E54" s="281"/>
      <c r="F54" s="281"/>
      <c r="G54" s="281"/>
      <c r="H54" s="281"/>
      <c r="I54" s="281"/>
      <c r="J54" s="281"/>
      <c r="K54" s="281"/>
      <c r="L54" s="281"/>
      <c r="M54" s="14"/>
      <c r="N54" s="14"/>
      <c r="O54" s="14"/>
      <c r="P54" s="2185"/>
      <c r="Q54" s="2185"/>
      <c r="R54" s="14"/>
      <c r="S54" s="281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40"/>
      <c r="AH54" s="40"/>
      <c r="AI54" s="14"/>
      <c r="AJ54" s="14"/>
      <c r="AK54" s="14"/>
      <c r="AL54" s="14"/>
      <c r="AM54" s="1780"/>
      <c r="AN54" s="40"/>
      <c r="AO54" s="1780"/>
      <c r="AP54" s="40"/>
      <c r="AQ54" s="203"/>
      <c r="AR54" s="203"/>
      <c r="AS54" s="14"/>
      <c r="AT54" s="14"/>
      <c r="AU54" s="14"/>
      <c r="AV54" s="14"/>
      <c r="AW54" s="14"/>
      <c r="AX54" s="1851"/>
      <c r="AY54" s="40"/>
      <c r="AZ54" s="204"/>
      <c r="BA54" s="204"/>
      <c r="BB54" s="204"/>
      <c r="BC54" s="1885"/>
      <c r="BD54" s="204"/>
      <c r="BE54" s="14"/>
      <c r="BF54" s="1545"/>
      <c r="BG54" s="1786"/>
      <c r="BH54" s="1786"/>
      <c r="BI54" s="14"/>
      <c r="BJ54" s="14"/>
      <c r="BK54" s="40"/>
      <c r="BL54" s="14"/>
      <c r="BM54" s="14"/>
      <c r="BN54" s="1851"/>
      <c r="BO54" s="14"/>
      <c r="BP54" s="14"/>
      <c r="BQ54" s="1786"/>
      <c r="BR54" s="1786"/>
      <c r="BS54" s="14"/>
      <c r="BT54" s="14"/>
      <c r="BU54" s="14"/>
      <c r="BV54" s="14"/>
      <c r="BW54" s="1786"/>
      <c r="BX54" s="1780"/>
      <c r="BY54" s="1780"/>
      <c r="BZ54" s="1780"/>
      <c r="CA54" s="1780"/>
      <c r="CB54" s="1780"/>
      <c r="CC54" s="1780"/>
      <c r="CD54" s="1780"/>
      <c r="CE54" s="1780"/>
      <c r="CF54" s="1780"/>
      <c r="CG54" s="1780"/>
      <c r="CH54" s="1780"/>
      <c r="CI54" s="1780"/>
      <c r="CJ54" s="1780"/>
      <c r="CK54" s="1780"/>
      <c r="CL54" s="1780"/>
    </row>
    <row r="55" spans="1:90" ht="29" customHeight="1" x14ac:dyDescent="0.15">
      <c r="A55" s="13"/>
      <c r="B55" s="281"/>
      <c r="C55" s="14"/>
      <c r="D55" s="14"/>
      <c r="E55" s="281"/>
      <c r="F55" s="281"/>
      <c r="G55" s="281"/>
      <c r="H55" s="281"/>
      <c r="I55" s="281"/>
      <c r="J55" s="281"/>
      <c r="K55" s="281"/>
      <c r="L55" s="281"/>
      <c r="M55" s="14"/>
      <c r="N55" s="14"/>
      <c r="O55" s="14"/>
      <c r="P55" s="2185"/>
      <c r="Q55" s="2185"/>
      <c r="R55" s="14"/>
      <c r="S55" s="281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40"/>
      <c r="AH55" s="40"/>
      <c r="AI55" s="14"/>
      <c r="AJ55" s="14"/>
      <c r="AK55" s="14"/>
      <c r="AL55" s="14"/>
      <c r="AM55" s="1780"/>
      <c r="AN55" s="40"/>
      <c r="AO55" s="1780"/>
      <c r="AP55" s="40"/>
      <c r="AQ55" s="203"/>
      <c r="AR55" s="203"/>
      <c r="AS55" s="14"/>
      <c r="AT55" s="14"/>
      <c r="AU55" s="14"/>
      <c r="AV55" s="14"/>
      <c r="AW55" s="14"/>
      <c r="AX55" s="1851"/>
      <c r="AY55" s="40"/>
      <c r="AZ55" s="204"/>
      <c r="BA55" s="204"/>
      <c r="BB55" s="204"/>
      <c r="BC55" s="1885"/>
      <c r="BD55" s="204"/>
      <c r="BE55" s="14"/>
      <c r="BF55" s="1545"/>
      <c r="BG55" s="1786"/>
      <c r="BH55" s="1786"/>
      <c r="BI55" s="14"/>
      <c r="BJ55" s="14"/>
      <c r="BK55" s="40"/>
      <c r="BL55" s="14"/>
      <c r="BM55" s="14"/>
      <c r="BN55" s="1851"/>
      <c r="BO55" s="14"/>
      <c r="BP55" s="14"/>
      <c r="BQ55" s="1786"/>
      <c r="BR55" s="1786"/>
      <c r="BS55" s="14"/>
      <c r="BT55" s="14"/>
      <c r="BU55" s="14"/>
      <c r="BV55" s="14"/>
      <c r="BW55" s="1786"/>
      <c r="BX55" s="1780"/>
      <c r="BY55" s="1780"/>
      <c r="BZ55" s="1780"/>
      <c r="CA55" s="1780"/>
      <c r="CB55" s="1780"/>
      <c r="CC55" s="1780"/>
      <c r="CD55" s="1780"/>
      <c r="CE55" s="1780"/>
      <c r="CF55" s="1780"/>
      <c r="CG55" s="1780"/>
      <c r="CH55" s="1780"/>
      <c r="CI55" s="1780"/>
      <c r="CJ55" s="1780"/>
      <c r="CK55" s="1780"/>
      <c r="CL55" s="1780"/>
    </row>
    <row r="56" spans="1:90" ht="29" customHeight="1" x14ac:dyDescent="0.15">
      <c r="A56" s="13"/>
      <c r="B56" s="281"/>
      <c r="C56" s="14"/>
      <c r="D56" s="14"/>
      <c r="E56" s="281"/>
      <c r="F56" s="281"/>
      <c r="G56" s="281"/>
      <c r="H56" s="281"/>
      <c r="I56" s="281"/>
      <c r="J56" s="281"/>
      <c r="K56" s="281"/>
      <c r="L56" s="281"/>
      <c r="M56" s="14"/>
      <c r="N56" s="14"/>
      <c r="O56" s="14"/>
      <c r="P56" s="2185"/>
      <c r="Q56" s="2185"/>
      <c r="R56" s="14"/>
      <c r="S56" s="281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40"/>
      <c r="AH56" s="40"/>
      <c r="AI56" s="14"/>
      <c r="AJ56" s="14"/>
      <c r="AK56" s="14"/>
      <c r="AL56" s="14"/>
      <c r="AM56" s="1780"/>
      <c r="AN56" s="40"/>
      <c r="AO56" s="1780"/>
      <c r="AP56" s="40"/>
      <c r="AQ56" s="203"/>
      <c r="AR56" s="203"/>
      <c r="AS56" s="14"/>
      <c r="AT56" s="14"/>
      <c r="AU56" s="14"/>
      <c r="AV56" s="14"/>
      <c r="AW56" s="14"/>
      <c r="AX56" s="1851"/>
      <c r="AY56" s="40"/>
      <c r="AZ56" s="204"/>
      <c r="BA56" s="204"/>
      <c r="BB56" s="204"/>
      <c r="BC56" s="1885"/>
      <c r="BD56" s="204"/>
      <c r="BE56" s="14"/>
      <c r="BF56" s="1545"/>
      <c r="BG56" s="1786"/>
      <c r="BH56" s="1786"/>
      <c r="BI56" s="14"/>
      <c r="BJ56" s="14"/>
      <c r="BK56" s="40"/>
      <c r="BL56" s="14"/>
      <c r="BM56" s="14"/>
      <c r="BN56" s="1851"/>
      <c r="BO56" s="14"/>
      <c r="BP56" s="14"/>
      <c r="BQ56" s="1786"/>
      <c r="BR56" s="1786"/>
      <c r="BS56" s="14"/>
      <c r="BT56" s="14"/>
      <c r="BU56" s="14"/>
      <c r="BV56" s="14"/>
      <c r="BW56" s="1786"/>
      <c r="BX56" s="1780"/>
      <c r="BY56" s="1780"/>
      <c r="BZ56" s="1780"/>
      <c r="CA56" s="1780"/>
      <c r="CB56" s="1780"/>
      <c r="CC56" s="1780"/>
      <c r="CD56" s="1780"/>
      <c r="CE56" s="1780"/>
      <c r="CF56" s="1780"/>
      <c r="CG56" s="1780"/>
      <c r="CH56" s="1780"/>
      <c r="CI56" s="1780"/>
      <c r="CJ56" s="1780"/>
      <c r="CK56" s="1780"/>
      <c r="CL56" s="1780"/>
    </row>
    <row r="57" spans="1:90" ht="29" customHeight="1" x14ac:dyDescent="0.15">
      <c r="A57" s="13"/>
      <c r="B57" s="281"/>
      <c r="C57" s="14"/>
      <c r="D57" s="14"/>
      <c r="E57" s="281"/>
      <c r="F57" s="281"/>
      <c r="G57" s="281"/>
      <c r="H57" s="281"/>
      <c r="I57" s="281"/>
      <c r="J57" s="281"/>
      <c r="K57" s="281"/>
      <c r="L57" s="281"/>
      <c r="M57" s="14"/>
      <c r="N57" s="14"/>
      <c r="O57" s="14"/>
      <c r="P57" s="2185"/>
      <c r="Q57" s="2185"/>
      <c r="R57" s="14"/>
      <c r="S57" s="281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40"/>
      <c r="AH57" s="40"/>
      <c r="AI57" s="14"/>
      <c r="AJ57" s="14"/>
      <c r="AK57" s="14"/>
      <c r="AL57" s="14"/>
      <c r="AM57" s="1780"/>
      <c r="AN57" s="40"/>
      <c r="AO57" s="1780"/>
      <c r="AP57" s="40"/>
      <c r="AQ57" s="203"/>
      <c r="AR57" s="203"/>
      <c r="AS57" s="14"/>
      <c r="AT57" s="14"/>
      <c r="AU57" s="14"/>
      <c r="AV57" s="14"/>
      <c r="AW57" s="14"/>
      <c r="AX57" s="1851"/>
      <c r="AY57" s="40"/>
      <c r="AZ57" s="204"/>
      <c r="BA57" s="204"/>
      <c r="BB57" s="204"/>
      <c r="BC57" s="1885"/>
      <c r="BD57" s="204"/>
      <c r="BE57" s="14"/>
      <c r="BF57" s="1545"/>
      <c r="BG57" s="1786"/>
      <c r="BH57" s="1786"/>
      <c r="BI57" s="14"/>
      <c r="BJ57" s="14"/>
      <c r="BK57" s="40"/>
      <c r="BL57" s="14"/>
      <c r="BM57" s="14"/>
      <c r="BN57" s="1851"/>
      <c r="BO57" s="14"/>
      <c r="BP57" s="14"/>
      <c r="BQ57" s="1786"/>
      <c r="BR57" s="1786"/>
      <c r="BS57" s="14"/>
      <c r="BT57" s="14"/>
      <c r="BU57" s="14"/>
      <c r="BV57" s="14"/>
      <c r="BW57" s="1786"/>
      <c r="BX57" s="1780"/>
      <c r="BY57" s="1780"/>
      <c r="BZ57" s="1780"/>
      <c r="CA57" s="1780"/>
      <c r="CB57" s="1780"/>
      <c r="CC57" s="1780"/>
      <c r="CD57" s="1780"/>
      <c r="CE57" s="1780"/>
      <c r="CF57" s="1780"/>
      <c r="CG57" s="1780"/>
      <c r="CH57" s="1780"/>
      <c r="CI57" s="1780"/>
      <c r="CJ57" s="1780"/>
      <c r="CK57" s="1780"/>
      <c r="CL57" s="1780"/>
    </row>
    <row r="58" spans="1:90" ht="29" customHeight="1" x14ac:dyDescent="0.15">
      <c r="A58" s="13"/>
      <c r="B58" s="281"/>
      <c r="C58" s="14"/>
      <c r="D58" s="14"/>
      <c r="E58" s="281"/>
      <c r="F58" s="281"/>
      <c r="G58" s="281"/>
      <c r="H58" s="281"/>
      <c r="I58" s="281"/>
      <c r="J58" s="281"/>
      <c r="K58" s="281"/>
      <c r="L58" s="281"/>
      <c r="M58" s="14"/>
      <c r="N58" s="14"/>
      <c r="O58" s="14"/>
      <c r="P58" s="2185"/>
      <c r="Q58" s="2185"/>
      <c r="R58" s="14"/>
      <c r="S58" s="281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40"/>
      <c r="AH58" s="40"/>
      <c r="AI58" s="14"/>
      <c r="AJ58" s="14"/>
      <c r="AK58" s="14"/>
      <c r="AL58" s="14"/>
      <c r="AM58" s="1780"/>
      <c r="AN58" s="40"/>
      <c r="AO58" s="1780"/>
      <c r="AP58" s="40"/>
      <c r="AQ58" s="203"/>
      <c r="AR58" s="203"/>
      <c r="AS58" s="14"/>
      <c r="AT58" s="14"/>
      <c r="AU58" s="14"/>
      <c r="AV58" s="14"/>
      <c r="AW58" s="14"/>
      <c r="AX58" s="1851"/>
      <c r="AY58" s="40"/>
      <c r="AZ58" s="204"/>
      <c r="BA58" s="204"/>
      <c r="BB58" s="204"/>
      <c r="BC58" s="1885"/>
      <c r="BD58" s="204"/>
      <c r="BE58" s="14"/>
      <c r="BF58" s="1545"/>
      <c r="BG58" s="1786"/>
      <c r="BH58" s="1786"/>
      <c r="BI58" s="14"/>
      <c r="BJ58" s="14"/>
      <c r="BK58" s="40"/>
      <c r="BL58" s="14"/>
      <c r="BM58" s="14"/>
      <c r="BN58" s="1851"/>
      <c r="BO58" s="14"/>
      <c r="BP58" s="14"/>
      <c r="BQ58" s="1786"/>
      <c r="BR58" s="1786"/>
      <c r="BS58" s="14"/>
      <c r="BT58" s="14"/>
      <c r="BU58" s="14"/>
      <c r="BV58" s="14"/>
      <c r="BW58" s="1786"/>
      <c r="BX58" s="1780"/>
      <c r="BY58" s="1780"/>
      <c r="BZ58" s="1780"/>
      <c r="CA58" s="1780"/>
      <c r="CB58" s="1780"/>
      <c r="CC58" s="1780"/>
      <c r="CD58" s="1780"/>
      <c r="CE58" s="1780"/>
      <c r="CF58" s="1780"/>
      <c r="CG58" s="1780"/>
      <c r="CH58" s="1780"/>
      <c r="CI58" s="1780"/>
      <c r="CJ58" s="1780"/>
      <c r="CK58" s="1780"/>
      <c r="CL58" s="1780"/>
    </row>
    <row r="59" spans="1:90" ht="29" customHeight="1" x14ac:dyDescent="0.15">
      <c r="A59" s="13"/>
      <c r="B59" s="281"/>
      <c r="C59" s="14"/>
      <c r="D59" s="14"/>
      <c r="E59" s="281"/>
      <c r="F59" s="281"/>
      <c r="G59" s="281"/>
      <c r="H59" s="281"/>
      <c r="I59" s="281"/>
      <c r="J59" s="281"/>
      <c r="K59" s="281"/>
      <c r="L59" s="281"/>
      <c r="M59" s="14"/>
      <c r="N59" s="14"/>
      <c r="O59" s="14"/>
      <c r="P59" s="2185"/>
      <c r="Q59" s="2185"/>
      <c r="R59" s="14"/>
      <c r="S59" s="281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40"/>
      <c r="AH59" s="40"/>
      <c r="AI59" s="14"/>
      <c r="AJ59" s="14"/>
      <c r="AK59" s="14"/>
      <c r="AL59" s="14"/>
      <c r="AM59" s="1780"/>
      <c r="AN59" s="40"/>
      <c r="AO59" s="1780"/>
      <c r="AP59" s="40"/>
      <c r="AQ59" s="203"/>
      <c r="AR59" s="203"/>
      <c r="AS59" s="14"/>
      <c r="AT59" s="14"/>
      <c r="AU59" s="14"/>
      <c r="AV59" s="14"/>
      <c r="AW59" s="14"/>
      <c r="AX59" s="1851"/>
      <c r="AY59" s="40"/>
      <c r="AZ59" s="204"/>
      <c r="BA59" s="204"/>
      <c r="BB59" s="204"/>
      <c r="BC59" s="1885"/>
      <c r="BD59" s="204"/>
      <c r="BE59" s="14"/>
      <c r="BF59" s="1545"/>
      <c r="BG59" s="1786"/>
      <c r="BH59" s="1786"/>
      <c r="BI59" s="14"/>
      <c r="BJ59" s="14"/>
      <c r="BK59" s="40"/>
      <c r="BL59" s="14"/>
      <c r="BM59" s="14"/>
      <c r="BN59" s="1851"/>
      <c r="BO59" s="14"/>
      <c r="BP59" s="14"/>
      <c r="BQ59" s="1786"/>
      <c r="BR59" s="1786"/>
      <c r="BS59" s="14"/>
      <c r="BT59" s="14"/>
      <c r="BU59" s="14"/>
      <c r="BV59" s="14"/>
      <c r="BW59" s="1786"/>
      <c r="BX59" s="1780"/>
      <c r="BY59" s="1780"/>
      <c r="BZ59" s="1780"/>
      <c r="CA59" s="1780"/>
      <c r="CB59" s="1780"/>
      <c r="CC59" s="1780"/>
      <c r="CD59" s="1780"/>
      <c r="CE59" s="1780"/>
      <c r="CF59" s="1780"/>
      <c r="CG59" s="1780"/>
      <c r="CH59" s="1780"/>
      <c r="CI59" s="1780"/>
      <c r="CJ59" s="1780"/>
      <c r="CK59" s="1780"/>
      <c r="CL59" s="1780"/>
    </row>
    <row r="60" spans="1:90" ht="16" customHeight="1" x14ac:dyDescent="0.15">
      <c r="A60" s="13"/>
      <c r="B60" s="281"/>
      <c r="C60" s="14"/>
      <c r="D60" s="14"/>
      <c r="E60" s="281"/>
      <c r="F60" s="281"/>
      <c r="G60" s="281"/>
      <c r="H60" s="281"/>
      <c r="I60" s="281"/>
      <c r="J60" s="281"/>
      <c r="K60" s="281"/>
      <c r="L60" s="281"/>
      <c r="M60" s="14"/>
      <c r="N60" s="14"/>
      <c r="O60" s="14"/>
      <c r="P60" s="2185"/>
      <c r="Q60" s="2185"/>
      <c r="R60" s="14"/>
      <c r="S60" s="281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40"/>
      <c r="AH60" s="40"/>
      <c r="AI60" s="14"/>
      <c r="AJ60" s="14"/>
      <c r="AK60" s="14"/>
      <c r="AL60" s="14"/>
      <c r="AM60" s="1780"/>
      <c r="AN60" s="40"/>
      <c r="AO60" s="1780"/>
      <c r="AP60" s="40"/>
      <c r="AQ60" s="203"/>
      <c r="AR60" s="203"/>
      <c r="AS60" s="14"/>
      <c r="AT60" s="14"/>
      <c r="AU60" s="14"/>
      <c r="AV60" s="14"/>
      <c r="AW60" s="14"/>
      <c r="AX60" s="1851"/>
      <c r="AY60" s="40"/>
      <c r="AZ60" s="204"/>
      <c r="BA60" s="204"/>
      <c r="BB60" s="204"/>
      <c r="BC60" s="1885"/>
      <c r="BD60" s="204"/>
      <c r="BE60" s="14"/>
      <c r="BF60" s="1545"/>
      <c r="BG60" s="1786"/>
      <c r="BH60" s="1786"/>
      <c r="BI60" s="14"/>
      <c r="BJ60" s="14"/>
      <c r="BK60" s="40"/>
      <c r="BL60" s="14"/>
      <c r="BM60" s="14"/>
      <c r="BN60" s="1851"/>
      <c r="BO60" s="14"/>
      <c r="BP60" s="14"/>
      <c r="BQ60" s="1786"/>
      <c r="BR60" s="1786"/>
      <c r="BS60" s="14"/>
      <c r="BT60" s="14"/>
      <c r="BU60" s="14"/>
      <c r="BV60" s="14"/>
      <c r="BW60" s="1786"/>
      <c r="BX60" s="1780"/>
      <c r="BY60" s="1780"/>
      <c r="BZ60" s="1780"/>
      <c r="CA60" s="1780"/>
      <c r="CB60" s="1780"/>
      <c r="CC60" s="1780"/>
      <c r="CD60" s="1780"/>
      <c r="CE60" s="1780"/>
      <c r="CF60" s="1780"/>
      <c r="CG60" s="1780"/>
      <c r="CH60" s="1780"/>
      <c r="CI60" s="1780"/>
      <c r="CJ60" s="1780"/>
      <c r="CK60" s="1780"/>
      <c r="CL60" s="1780"/>
    </row>
    <row r="61" spans="1:90" ht="16" customHeight="1" x14ac:dyDescent="0.15">
      <c r="A61" s="13"/>
      <c r="B61" s="281"/>
      <c r="C61" s="14"/>
      <c r="D61" s="14"/>
      <c r="E61" s="281"/>
      <c r="F61" s="281"/>
      <c r="G61" s="281"/>
      <c r="H61" s="281"/>
      <c r="I61" s="281"/>
      <c r="J61" s="281"/>
      <c r="K61" s="281"/>
      <c r="L61" s="281"/>
      <c r="M61" s="14"/>
      <c r="N61" s="14"/>
      <c r="O61" s="14"/>
      <c r="P61" s="2185"/>
      <c r="Q61" s="2185"/>
      <c r="R61" s="14"/>
      <c r="S61" s="281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40"/>
      <c r="AH61" s="40"/>
      <c r="AI61" s="14"/>
      <c r="AJ61" s="14"/>
      <c r="AK61" s="14"/>
      <c r="AL61" s="14"/>
      <c r="AM61" s="1780"/>
      <c r="AN61" s="40"/>
      <c r="AO61" s="1780"/>
      <c r="AP61" s="40"/>
      <c r="AQ61" s="203"/>
      <c r="AR61" s="203"/>
      <c r="AS61" s="14"/>
      <c r="AT61" s="14"/>
      <c r="AU61" s="14"/>
      <c r="AV61" s="14"/>
      <c r="AW61" s="14"/>
      <c r="AX61" s="1851"/>
      <c r="AY61" s="40"/>
      <c r="AZ61" s="204"/>
      <c r="BA61" s="204"/>
      <c r="BB61" s="204"/>
      <c r="BC61" s="1885"/>
      <c r="BD61" s="204"/>
      <c r="BE61" s="14"/>
      <c r="BF61" s="1545"/>
      <c r="BG61" s="1786"/>
      <c r="BH61" s="1786"/>
      <c r="BI61" s="14"/>
      <c r="BJ61" s="14"/>
      <c r="BK61" s="40"/>
      <c r="BL61" s="14"/>
      <c r="BM61" s="14"/>
      <c r="BN61" s="1851"/>
      <c r="BO61" s="14"/>
      <c r="BP61" s="14"/>
      <c r="BQ61" s="1786"/>
      <c r="BR61" s="1786"/>
      <c r="BS61" s="14"/>
      <c r="BT61" s="14"/>
      <c r="BU61" s="14"/>
      <c r="BV61" s="14"/>
      <c r="BW61" s="1786"/>
      <c r="BX61" s="1780"/>
      <c r="BY61" s="1780"/>
      <c r="BZ61" s="1780"/>
      <c r="CA61" s="1780"/>
      <c r="CB61" s="1780"/>
      <c r="CC61" s="1780"/>
      <c r="CD61" s="1780"/>
      <c r="CE61" s="1780"/>
      <c r="CF61" s="1780"/>
      <c r="CG61" s="1780"/>
      <c r="CH61" s="1780"/>
      <c r="CI61" s="1780"/>
      <c r="CJ61" s="1780"/>
      <c r="CK61" s="1780"/>
      <c r="CL61" s="1780"/>
    </row>
    <row r="62" spans="1:90" ht="16" customHeight="1" x14ac:dyDescent="0.15">
      <c r="A62" s="13"/>
      <c r="B62" s="281"/>
      <c r="C62" s="14"/>
      <c r="D62" s="14"/>
      <c r="E62" s="281"/>
      <c r="F62" s="281"/>
      <c r="G62" s="281"/>
      <c r="H62" s="281"/>
      <c r="I62" s="281"/>
      <c r="J62" s="281"/>
      <c r="K62" s="281"/>
      <c r="L62" s="281"/>
      <c r="M62" s="14"/>
      <c r="N62" s="14"/>
      <c r="O62" s="14"/>
      <c r="P62" s="2185"/>
      <c r="Q62" s="2185"/>
      <c r="R62" s="14"/>
      <c r="S62" s="281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40"/>
      <c r="AH62" s="40"/>
      <c r="AI62" s="14"/>
      <c r="AJ62" s="14"/>
      <c r="AK62" s="14"/>
      <c r="AL62" s="14"/>
      <c r="AM62" s="1780"/>
      <c r="AN62" s="40"/>
      <c r="AO62" s="1780"/>
      <c r="AP62" s="40"/>
      <c r="AQ62" s="203"/>
      <c r="AR62" s="203"/>
      <c r="AS62" s="14"/>
      <c r="AT62" s="14"/>
      <c r="AU62" s="14"/>
      <c r="AV62" s="14"/>
      <c r="AW62" s="14"/>
      <c r="AX62" s="1851"/>
      <c r="AY62" s="40"/>
      <c r="AZ62" s="204"/>
      <c r="BA62" s="204"/>
      <c r="BB62" s="204"/>
      <c r="BC62" s="1885"/>
      <c r="BD62" s="204"/>
      <c r="BE62" s="14"/>
      <c r="BF62" s="1545"/>
      <c r="BG62" s="1786"/>
      <c r="BH62" s="1786"/>
      <c r="BI62" s="14"/>
      <c r="BJ62" s="14"/>
      <c r="BK62" s="40"/>
      <c r="BL62" s="14"/>
      <c r="BM62" s="14"/>
      <c r="BN62" s="1851"/>
      <c r="BO62" s="14"/>
      <c r="BP62" s="14"/>
      <c r="BQ62" s="1786"/>
      <c r="BR62" s="1786"/>
      <c r="BS62" s="14"/>
      <c r="BT62" s="14"/>
      <c r="BU62" s="14"/>
      <c r="BV62" s="14"/>
      <c r="BW62" s="1786"/>
      <c r="BX62" s="1780"/>
      <c r="BY62" s="1780"/>
      <c r="BZ62" s="1780"/>
      <c r="CA62" s="1780"/>
      <c r="CB62" s="1780"/>
      <c r="CC62" s="1780"/>
      <c r="CD62" s="1780"/>
      <c r="CE62" s="1780"/>
      <c r="CF62" s="1780"/>
      <c r="CG62" s="1780"/>
      <c r="CH62" s="1780"/>
      <c r="CI62" s="1780"/>
      <c r="CJ62" s="1780"/>
      <c r="CK62" s="1780"/>
      <c r="CL62" s="1780"/>
    </row>
    <row r="63" spans="1:90" ht="16" customHeight="1" x14ac:dyDescent="0.15">
      <c r="A63" s="13"/>
      <c r="B63" s="281"/>
      <c r="C63" s="14"/>
      <c r="D63" s="14"/>
      <c r="E63" s="281"/>
      <c r="F63" s="281"/>
      <c r="G63" s="281"/>
      <c r="H63" s="281"/>
      <c r="I63" s="281"/>
      <c r="J63" s="281"/>
      <c r="K63" s="281"/>
      <c r="L63" s="281"/>
      <c r="M63" s="14"/>
      <c r="N63" s="14"/>
      <c r="O63" s="14"/>
      <c r="P63" s="2185"/>
      <c r="Q63" s="2185"/>
      <c r="R63" s="14"/>
      <c r="S63" s="281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40"/>
      <c r="AH63" s="40"/>
      <c r="AI63" s="14"/>
      <c r="AJ63" s="14"/>
      <c r="AK63" s="14"/>
      <c r="AL63" s="14"/>
      <c r="AM63" s="1780"/>
      <c r="AN63" s="40"/>
      <c r="AO63" s="1780"/>
      <c r="AP63" s="40"/>
      <c r="AQ63" s="203"/>
      <c r="AR63" s="203"/>
      <c r="AS63" s="14"/>
      <c r="AT63" s="14"/>
      <c r="AU63" s="14"/>
      <c r="AV63" s="14"/>
      <c r="AW63" s="14"/>
      <c r="AX63" s="1851"/>
      <c r="AY63" s="40"/>
      <c r="AZ63" s="204"/>
      <c r="BA63" s="204"/>
      <c r="BB63" s="204"/>
      <c r="BC63" s="1885"/>
      <c r="BD63" s="204"/>
      <c r="BE63" s="14"/>
      <c r="BF63" s="1545"/>
      <c r="BG63" s="1786"/>
      <c r="BH63" s="1786"/>
      <c r="BI63" s="14"/>
      <c r="BJ63" s="14"/>
      <c r="BK63" s="40"/>
      <c r="BL63" s="14"/>
      <c r="BM63" s="14"/>
      <c r="BN63" s="1851"/>
      <c r="BO63" s="14"/>
      <c r="BP63" s="14"/>
      <c r="BQ63" s="1786"/>
      <c r="BR63" s="1786"/>
      <c r="BS63" s="14"/>
      <c r="BT63" s="14"/>
      <c r="BU63" s="14"/>
      <c r="BV63" s="14"/>
      <c r="BW63" s="1786"/>
      <c r="BX63" s="1780"/>
      <c r="BY63" s="1780"/>
      <c r="BZ63" s="1780"/>
      <c r="CA63" s="1780"/>
      <c r="CB63" s="1780"/>
      <c r="CC63" s="1780"/>
      <c r="CD63" s="1780"/>
      <c r="CE63" s="1780"/>
      <c r="CF63" s="1780"/>
      <c r="CG63" s="1780"/>
      <c r="CH63" s="1780"/>
      <c r="CI63" s="1780"/>
      <c r="CJ63" s="1780"/>
      <c r="CK63" s="1780"/>
      <c r="CL63" s="1780"/>
    </row>
    <row r="64" spans="1:90" ht="16" customHeight="1" x14ac:dyDescent="0.15">
      <c r="A64" s="13"/>
      <c r="B64" s="281"/>
      <c r="C64" s="14"/>
      <c r="D64" s="14"/>
      <c r="E64" s="281"/>
      <c r="F64" s="281"/>
      <c r="G64" s="281"/>
      <c r="H64" s="281"/>
      <c r="I64" s="281"/>
      <c r="J64" s="281"/>
      <c r="K64" s="281"/>
      <c r="L64" s="281"/>
      <c r="M64" s="14"/>
      <c r="N64" s="14"/>
      <c r="O64" s="14"/>
      <c r="P64" s="2185"/>
      <c r="Q64" s="2185"/>
      <c r="R64" s="14"/>
      <c r="S64" s="281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40"/>
      <c r="AH64" s="40"/>
      <c r="AI64" s="14"/>
      <c r="AJ64" s="14"/>
      <c r="AK64" s="14"/>
      <c r="AL64" s="14"/>
      <c r="AM64" s="1780"/>
      <c r="AN64" s="40"/>
      <c r="AO64" s="1780"/>
      <c r="AP64" s="40"/>
      <c r="AQ64" s="203"/>
      <c r="AR64" s="203"/>
      <c r="AS64" s="14"/>
      <c r="AT64" s="14"/>
      <c r="AU64" s="14"/>
      <c r="AV64" s="14"/>
      <c r="AW64" s="14"/>
      <c r="AX64" s="1851"/>
      <c r="AY64" s="40"/>
      <c r="AZ64" s="204"/>
      <c r="BA64" s="204"/>
      <c r="BB64" s="204"/>
      <c r="BC64" s="1885"/>
      <c r="BD64" s="204"/>
      <c r="BE64" s="14"/>
      <c r="BF64" s="1545"/>
      <c r="BG64" s="1786"/>
      <c r="BH64" s="1786"/>
      <c r="BI64" s="14"/>
      <c r="BJ64" s="14"/>
      <c r="BK64" s="40"/>
      <c r="BL64" s="14"/>
      <c r="BM64" s="14"/>
      <c r="BN64" s="1851"/>
      <c r="BO64" s="14"/>
      <c r="BP64" s="14"/>
      <c r="BQ64" s="1786"/>
      <c r="BR64" s="1786"/>
      <c r="BS64" s="14"/>
      <c r="BT64" s="14"/>
      <c r="BU64" s="14"/>
      <c r="BV64" s="14"/>
      <c r="BW64" s="1786"/>
      <c r="BX64" s="1780"/>
      <c r="BY64" s="1780"/>
      <c r="BZ64" s="1780"/>
      <c r="CA64" s="1780"/>
      <c r="CB64" s="1780"/>
      <c r="CC64" s="1780"/>
      <c r="CD64" s="1780"/>
      <c r="CE64" s="1780"/>
      <c r="CF64" s="1780"/>
      <c r="CG64" s="1780"/>
      <c r="CH64" s="1780"/>
      <c r="CI64" s="1780"/>
      <c r="CJ64" s="1780"/>
      <c r="CK64" s="1780"/>
      <c r="CL64" s="1780"/>
    </row>
    <row r="65" spans="1:90" ht="16" customHeight="1" x14ac:dyDescent="0.15">
      <c r="A65" s="13"/>
      <c r="B65" s="281"/>
      <c r="C65" s="14"/>
      <c r="D65" s="14"/>
      <c r="E65" s="281"/>
      <c r="F65" s="281"/>
      <c r="G65" s="281"/>
      <c r="H65" s="281"/>
      <c r="I65" s="281"/>
      <c r="J65" s="281"/>
      <c r="K65" s="281"/>
      <c r="L65" s="281"/>
      <c r="M65" s="14"/>
      <c r="N65" s="14"/>
      <c r="O65" s="14"/>
      <c r="P65" s="2185"/>
      <c r="Q65" s="2185"/>
      <c r="R65" s="14"/>
      <c r="S65" s="281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40"/>
      <c r="AH65" s="40"/>
      <c r="AI65" s="14"/>
      <c r="AJ65" s="14"/>
      <c r="AK65" s="14"/>
      <c r="AL65" s="14"/>
      <c r="AM65" s="1780"/>
      <c r="AN65" s="40"/>
      <c r="AO65" s="1780"/>
      <c r="AP65" s="40"/>
      <c r="AQ65" s="203"/>
      <c r="AR65" s="203"/>
      <c r="AS65" s="14"/>
      <c r="AT65" s="14"/>
      <c r="AU65" s="14"/>
      <c r="AV65" s="14"/>
      <c r="AW65" s="14"/>
      <c r="AX65" s="1851"/>
      <c r="AY65" s="40"/>
      <c r="AZ65" s="204"/>
      <c r="BA65" s="204"/>
      <c r="BB65" s="204"/>
      <c r="BC65" s="1885"/>
      <c r="BD65" s="204"/>
      <c r="BE65" s="14"/>
      <c r="BF65" s="1545"/>
      <c r="BG65" s="1786"/>
      <c r="BH65" s="1786"/>
      <c r="BI65" s="14"/>
      <c r="BJ65" s="14"/>
      <c r="BK65" s="40"/>
      <c r="BL65" s="14"/>
      <c r="BM65" s="14"/>
      <c r="BN65" s="1851"/>
      <c r="BO65" s="14"/>
      <c r="BP65" s="14"/>
      <c r="BQ65" s="1786"/>
      <c r="BR65" s="1786"/>
      <c r="BS65" s="14"/>
      <c r="BT65" s="14"/>
      <c r="BU65" s="14"/>
      <c r="BV65" s="14"/>
      <c r="BW65" s="1786"/>
      <c r="BX65" s="1780"/>
      <c r="BY65" s="1780"/>
      <c r="BZ65" s="1780"/>
      <c r="CA65" s="1780"/>
      <c r="CB65" s="1780"/>
      <c r="CC65" s="1780"/>
      <c r="CD65" s="1780"/>
      <c r="CE65" s="1780"/>
      <c r="CF65" s="1780"/>
      <c r="CG65" s="1780"/>
      <c r="CH65" s="1780"/>
      <c r="CI65" s="1780"/>
      <c r="CJ65" s="1780"/>
      <c r="CK65" s="1780"/>
      <c r="CL65" s="1780"/>
    </row>
    <row r="66" spans="1:90" ht="16" customHeight="1" x14ac:dyDescent="0.15">
      <c r="A66" s="13"/>
      <c r="B66" s="281"/>
      <c r="C66" s="14"/>
      <c r="D66" s="14"/>
      <c r="E66" s="281"/>
      <c r="F66" s="281"/>
      <c r="G66" s="281"/>
      <c r="H66" s="281"/>
      <c r="I66" s="281"/>
      <c r="J66" s="281"/>
      <c r="K66" s="281"/>
      <c r="L66" s="281"/>
      <c r="M66" s="14"/>
      <c r="N66" s="14"/>
      <c r="O66" s="14"/>
      <c r="P66" s="2185"/>
      <c r="Q66" s="2185"/>
      <c r="R66" s="14"/>
      <c r="S66" s="281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40"/>
      <c r="AH66" s="40"/>
      <c r="AI66" s="14"/>
      <c r="AJ66" s="14"/>
      <c r="AK66" s="14"/>
      <c r="AL66" s="14"/>
      <c r="AM66" s="1780"/>
      <c r="AN66" s="40"/>
      <c r="AO66" s="1780"/>
      <c r="AP66" s="40"/>
      <c r="AQ66" s="203"/>
      <c r="AR66" s="203"/>
      <c r="AS66" s="14"/>
      <c r="AT66" s="14"/>
      <c r="AU66" s="14"/>
      <c r="AV66" s="14"/>
      <c r="AW66" s="14"/>
      <c r="AX66" s="1851"/>
      <c r="AY66" s="40"/>
      <c r="AZ66" s="204"/>
      <c r="BA66" s="204"/>
      <c r="BB66" s="204"/>
      <c r="BC66" s="1885"/>
      <c r="BD66" s="204"/>
      <c r="BE66" s="14"/>
      <c r="BF66" s="1545"/>
      <c r="BG66" s="1786"/>
      <c r="BH66" s="1786"/>
      <c r="BI66" s="14"/>
      <c r="BJ66" s="14"/>
      <c r="BK66" s="40"/>
      <c r="BL66" s="14"/>
      <c r="BM66" s="14"/>
      <c r="BN66" s="1851"/>
      <c r="BO66" s="14"/>
      <c r="BP66" s="14"/>
      <c r="BQ66" s="1786"/>
      <c r="BR66" s="1786"/>
      <c r="BS66" s="14"/>
      <c r="BT66" s="14"/>
      <c r="BU66" s="14"/>
      <c r="BV66" s="14"/>
      <c r="BW66" s="1786"/>
      <c r="BX66" s="1780"/>
      <c r="BY66" s="1780"/>
      <c r="BZ66" s="1780"/>
      <c r="CA66" s="1780"/>
      <c r="CB66" s="1780"/>
      <c r="CC66" s="1780"/>
      <c r="CD66" s="1780"/>
      <c r="CE66" s="1780"/>
      <c r="CF66" s="1780"/>
      <c r="CG66" s="1780"/>
      <c r="CH66" s="1780"/>
      <c r="CI66" s="1780"/>
      <c r="CJ66" s="1780"/>
      <c r="CK66" s="1780"/>
      <c r="CL66" s="1780"/>
    </row>
    <row r="67" spans="1:90" ht="16" customHeight="1" x14ac:dyDescent="0.15">
      <c r="A67" s="13"/>
      <c r="B67" s="281"/>
      <c r="C67" s="14"/>
      <c r="D67" s="14"/>
      <c r="E67" s="281"/>
      <c r="F67" s="281"/>
      <c r="G67" s="281"/>
      <c r="H67" s="281"/>
      <c r="I67" s="281"/>
      <c r="J67" s="281"/>
      <c r="K67" s="281"/>
      <c r="L67" s="281"/>
      <c r="M67" s="14"/>
      <c r="N67" s="14"/>
      <c r="O67" s="14"/>
      <c r="P67" s="2185"/>
      <c r="Q67" s="2185"/>
      <c r="R67" s="14"/>
      <c r="S67" s="281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40"/>
      <c r="AH67" s="40"/>
      <c r="AI67" s="14"/>
      <c r="AJ67" s="14"/>
      <c r="AK67" s="14"/>
      <c r="AL67" s="14"/>
      <c r="AM67" s="1780"/>
      <c r="AN67" s="40"/>
      <c r="AO67" s="1780"/>
      <c r="AP67" s="40"/>
      <c r="AQ67" s="203"/>
      <c r="AR67" s="203"/>
      <c r="AS67" s="14"/>
      <c r="AT67" s="14"/>
      <c r="AU67" s="14"/>
      <c r="AV67" s="14"/>
      <c r="AW67" s="14"/>
      <c r="AX67" s="1851"/>
      <c r="AY67" s="40"/>
      <c r="AZ67" s="204"/>
      <c r="BA67" s="204"/>
      <c r="BB67" s="204"/>
      <c r="BC67" s="1885"/>
      <c r="BD67" s="204"/>
      <c r="BE67" s="14"/>
      <c r="BF67" s="1545"/>
      <c r="BG67" s="1786"/>
      <c r="BH67" s="1786"/>
      <c r="BI67" s="14"/>
      <c r="BJ67" s="14"/>
      <c r="BK67" s="40"/>
      <c r="BL67" s="14"/>
      <c r="BM67" s="14"/>
      <c r="BN67" s="1851"/>
      <c r="BO67" s="14"/>
      <c r="BP67" s="14"/>
      <c r="BQ67" s="1786"/>
      <c r="BR67" s="1786"/>
      <c r="BS67" s="14"/>
      <c r="BT67" s="14"/>
      <c r="BU67" s="14"/>
      <c r="BV67" s="14"/>
      <c r="BW67" s="1786"/>
      <c r="BX67" s="1780"/>
      <c r="BY67" s="1780"/>
      <c r="BZ67" s="1780"/>
      <c r="CA67" s="1780"/>
      <c r="CB67" s="1780"/>
      <c r="CC67" s="1780"/>
      <c r="CD67" s="1780"/>
      <c r="CE67" s="1780"/>
      <c r="CF67" s="1780"/>
      <c r="CG67" s="1780"/>
      <c r="CH67" s="1780"/>
      <c r="CI67" s="1780"/>
      <c r="CJ67" s="1780"/>
      <c r="CK67" s="1780"/>
      <c r="CL67" s="1780"/>
    </row>
    <row r="68" spans="1:90" ht="16" customHeight="1" x14ac:dyDescent="0.15">
      <c r="A68" s="13"/>
      <c r="B68" s="281"/>
      <c r="C68" s="14"/>
      <c r="D68" s="14"/>
      <c r="E68" s="281"/>
      <c r="F68" s="281"/>
      <c r="G68" s="281"/>
      <c r="H68" s="281"/>
      <c r="I68" s="281"/>
      <c r="J68" s="281"/>
      <c r="K68" s="281"/>
      <c r="L68" s="281"/>
      <c r="M68" s="14"/>
      <c r="N68" s="14"/>
      <c r="O68" s="14"/>
      <c r="P68" s="2185"/>
      <c r="Q68" s="2185"/>
      <c r="R68" s="14"/>
      <c r="S68" s="281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40"/>
      <c r="AH68" s="40"/>
      <c r="AI68" s="14"/>
      <c r="AJ68" s="14"/>
      <c r="AK68" s="14"/>
      <c r="AL68" s="14"/>
      <c r="AM68" s="1780"/>
      <c r="AN68" s="40"/>
      <c r="AO68" s="1780"/>
      <c r="AP68" s="40"/>
      <c r="AQ68" s="203"/>
      <c r="AR68" s="203"/>
      <c r="AS68" s="14"/>
      <c r="AT68" s="14"/>
      <c r="AU68" s="14"/>
      <c r="AV68" s="14"/>
      <c r="AW68" s="14"/>
      <c r="AX68" s="1851"/>
      <c r="AY68" s="40"/>
      <c r="AZ68" s="204"/>
      <c r="BA68" s="204"/>
      <c r="BB68" s="204"/>
      <c r="BC68" s="1885"/>
      <c r="BD68" s="204"/>
      <c r="BE68" s="14"/>
      <c r="BF68" s="1545"/>
      <c r="BG68" s="1786"/>
      <c r="BH68" s="1786"/>
      <c r="BI68" s="14"/>
      <c r="BJ68" s="14"/>
      <c r="BK68" s="40"/>
      <c r="BL68" s="14"/>
      <c r="BM68" s="14"/>
      <c r="BN68" s="1851"/>
      <c r="BO68" s="14"/>
      <c r="BP68" s="14"/>
      <c r="BQ68" s="1786"/>
      <c r="BR68" s="1786"/>
      <c r="BS68" s="14"/>
      <c r="BT68" s="14"/>
      <c r="BU68" s="14"/>
      <c r="BV68" s="14"/>
      <c r="BW68" s="1786"/>
      <c r="BX68" s="1780"/>
      <c r="BY68" s="1780"/>
      <c r="BZ68" s="1780"/>
      <c r="CA68" s="1780"/>
      <c r="CB68" s="1780"/>
      <c r="CC68" s="1780"/>
      <c r="CD68" s="1780"/>
      <c r="CE68" s="1780"/>
      <c r="CF68" s="1780"/>
      <c r="CG68" s="1780"/>
      <c r="CH68" s="1780"/>
      <c r="CI68" s="1780"/>
      <c r="CJ68" s="1780"/>
      <c r="CK68" s="1780"/>
      <c r="CL68" s="1780"/>
    </row>
    <row r="69" spans="1:90" ht="16" customHeight="1" x14ac:dyDescent="0.15">
      <c r="A69" s="13"/>
      <c r="B69" s="281"/>
      <c r="C69" s="14"/>
      <c r="D69" s="14"/>
      <c r="E69" s="281"/>
      <c r="F69" s="281"/>
      <c r="G69" s="281"/>
      <c r="H69" s="281"/>
      <c r="I69" s="281"/>
      <c r="J69" s="281"/>
      <c r="K69" s="281"/>
      <c r="L69" s="281"/>
      <c r="M69" s="14"/>
      <c r="N69" s="14"/>
      <c r="O69" s="14"/>
      <c r="P69" s="2185"/>
      <c r="Q69" s="2185"/>
      <c r="R69" s="14"/>
      <c r="S69" s="281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40"/>
      <c r="AH69" s="40"/>
      <c r="AI69" s="14"/>
      <c r="AJ69" s="14"/>
      <c r="AK69" s="14"/>
      <c r="AL69" s="14"/>
      <c r="AM69" s="1780"/>
      <c r="AN69" s="40"/>
      <c r="AO69" s="1780"/>
      <c r="AP69" s="40"/>
      <c r="AQ69" s="203"/>
      <c r="AR69" s="203"/>
      <c r="AS69" s="14"/>
      <c r="AT69" s="14"/>
      <c r="AU69" s="14"/>
      <c r="AV69" s="14"/>
      <c r="AW69" s="14"/>
      <c r="AX69" s="1851"/>
      <c r="AY69" s="40"/>
      <c r="AZ69" s="204"/>
      <c r="BA69" s="204"/>
      <c r="BB69" s="204"/>
      <c r="BC69" s="1885"/>
      <c r="BD69" s="204"/>
      <c r="BE69" s="14"/>
      <c r="BF69" s="1545"/>
      <c r="BG69" s="1786"/>
      <c r="BH69" s="1786"/>
      <c r="BI69" s="14"/>
      <c r="BJ69" s="14"/>
      <c r="BK69" s="40"/>
      <c r="BL69" s="14"/>
      <c r="BM69" s="14"/>
      <c r="BN69" s="1851"/>
      <c r="BO69" s="14"/>
      <c r="BP69" s="14"/>
      <c r="BQ69" s="1786"/>
      <c r="BR69" s="1786"/>
      <c r="BS69" s="14"/>
      <c r="BT69" s="14"/>
      <c r="BU69" s="14"/>
      <c r="BV69" s="14"/>
      <c r="BW69" s="1786"/>
      <c r="BX69" s="1780"/>
      <c r="BY69" s="1780"/>
      <c r="BZ69" s="1780"/>
      <c r="CA69" s="1780"/>
      <c r="CB69" s="1780"/>
      <c r="CC69" s="1780"/>
      <c r="CD69" s="1780"/>
      <c r="CE69" s="1780"/>
      <c r="CF69" s="1780"/>
      <c r="CG69" s="1780"/>
      <c r="CH69" s="1780"/>
      <c r="CI69" s="1780"/>
      <c r="CJ69" s="1780"/>
      <c r="CK69" s="1780"/>
      <c r="CL69" s="1780"/>
    </row>
    <row r="70" spans="1:90" ht="16" customHeight="1" x14ac:dyDescent="0.15">
      <c r="A70" s="13"/>
      <c r="B70" s="281"/>
      <c r="C70" s="14"/>
      <c r="D70" s="14"/>
      <c r="E70" s="281"/>
      <c r="F70" s="281"/>
      <c r="G70" s="281"/>
      <c r="H70" s="281"/>
      <c r="I70" s="281"/>
      <c r="J70" s="281"/>
      <c r="K70" s="281"/>
      <c r="L70" s="281"/>
      <c r="M70" s="14"/>
      <c r="N70" s="14"/>
      <c r="O70" s="14"/>
      <c r="P70" s="2185"/>
      <c r="Q70" s="2185"/>
      <c r="R70" s="14"/>
      <c r="S70" s="281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40"/>
      <c r="AH70" s="40"/>
      <c r="AI70" s="14"/>
      <c r="AJ70" s="14"/>
      <c r="AK70" s="14"/>
      <c r="AL70" s="14"/>
      <c r="AM70" s="1780"/>
      <c r="AN70" s="40"/>
      <c r="AO70" s="1780"/>
      <c r="AP70" s="40"/>
      <c r="AQ70" s="203"/>
      <c r="AR70" s="203"/>
      <c r="AS70" s="14"/>
      <c r="AT70" s="14"/>
      <c r="AU70" s="14"/>
      <c r="AV70" s="14"/>
      <c r="AW70" s="14"/>
      <c r="AX70" s="1851"/>
      <c r="AY70" s="40"/>
      <c r="AZ70" s="204"/>
      <c r="BA70" s="204"/>
      <c r="BB70" s="204"/>
      <c r="BC70" s="1885"/>
      <c r="BD70" s="204"/>
      <c r="BE70" s="14"/>
      <c r="BF70" s="1545"/>
      <c r="BG70" s="1786"/>
      <c r="BH70" s="1786"/>
      <c r="BI70" s="14"/>
      <c r="BJ70" s="14"/>
      <c r="BK70" s="40"/>
      <c r="BL70" s="14"/>
      <c r="BM70" s="14"/>
      <c r="BN70" s="1851"/>
      <c r="BO70" s="14"/>
      <c r="BP70" s="14"/>
      <c r="BQ70" s="1786"/>
      <c r="BR70" s="1786"/>
      <c r="BS70" s="14"/>
      <c r="BT70" s="14"/>
      <c r="BU70" s="14"/>
      <c r="BV70" s="14"/>
      <c r="BW70" s="1786"/>
      <c r="BX70" s="1780"/>
      <c r="BY70" s="1780"/>
      <c r="BZ70" s="1780"/>
      <c r="CA70" s="1780"/>
      <c r="CB70" s="1780"/>
      <c r="CC70" s="1780"/>
      <c r="CD70" s="1780"/>
      <c r="CE70" s="1780"/>
      <c r="CF70" s="1780"/>
      <c r="CG70" s="1780"/>
      <c r="CH70" s="1780"/>
      <c r="CI70" s="1780"/>
      <c r="CJ70" s="1780"/>
      <c r="CK70" s="1780"/>
      <c r="CL70" s="1780"/>
    </row>
    <row r="71" spans="1:90" ht="16" customHeight="1" x14ac:dyDescent="0.15">
      <c r="A71" s="13"/>
      <c r="B71" s="281"/>
      <c r="C71" s="14"/>
      <c r="D71" s="14"/>
      <c r="E71" s="281"/>
      <c r="F71" s="281"/>
      <c r="G71" s="281"/>
      <c r="H71" s="281"/>
      <c r="I71" s="281"/>
      <c r="J71" s="281"/>
      <c r="K71" s="281"/>
      <c r="L71" s="281"/>
      <c r="M71" s="14"/>
      <c r="N71" s="14"/>
      <c r="O71" s="14"/>
      <c r="P71" s="2185"/>
      <c r="Q71" s="2185"/>
      <c r="R71" s="14"/>
      <c r="S71" s="281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40"/>
      <c r="AH71" s="40"/>
      <c r="AI71" s="14"/>
      <c r="AJ71" s="14"/>
      <c r="AK71" s="14"/>
      <c r="AL71" s="14"/>
      <c r="AM71" s="1780"/>
      <c r="AN71" s="40"/>
      <c r="AO71" s="1780"/>
      <c r="AP71" s="40"/>
      <c r="AQ71" s="203"/>
      <c r="AR71" s="203"/>
      <c r="AS71" s="14"/>
      <c r="AT71" s="14"/>
      <c r="AU71" s="14"/>
      <c r="AV71" s="14"/>
      <c r="AW71" s="14"/>
      <c r="AX71" s="1851"/>
      <c r="AY71" s="40"/>
      <c r="AZ71" s="204"/>
      <c r="BA71" s="204"/>
      <c r="BB71" s="204"/>
      <c r="BC71" s="1885"/>
      <c r="BD71" s="204"/>
      <c r="BE71" s="14"/>
      <c r="BF71" s="1545"/>
      <c r="BG71" s="1786"/>
      <c r="BH71" s="1786"/>
      <c r="BI71" s="14"/>
      <c r="BJ71" s="14"/>
      <c r="BK71" s="40"/>
      <c r="BL71" s="14"/>
      <c r="BM71" s="14"/>
      <c r="BN71" s="1851"/>
      <c r="BO71" s="14"/>
      <c r="BP71" s="14"/>
      <c r="BQ71" s="1786"/>
      <c r="BR71" s="1786"/>
      <c r="BS71" s="14"/>
      <c r="BT71" s="14"/>
      <c r="BU71" s="14"/>
      <c r="BV71" s="14"/>
      <c r="BW71" s="1786"/>
      <c r="BX71" s="1780"/>
      <c r="BY71" s="1780"/>
      <c r="BZ71" s="1780"/>
      <c r="CA71" s="1780"/>
      <c r="CB71" s="1780"/>
      <c r="CC71" s="1780"/>
      <c r="CD71" s="1780"/>
      <c r="CE71" s="1780"/>
      <c r="CF71" s="1780"/>
      <c r="CG71" s="1780"/>
      <c r="CH71" s="1780"/>
      <c r="CI71" s="1780"/>
      <c r="CJ71" s="1780"/>
      <c r="CK71" s="1780"/>
      <c r="CL71" s="1780"/>
    </row>
    <row r="72" spans="1:90" ht="16" customHeight="1" x14ac:dyDescent="0.15">
      <c r="A72" s="13"/>
      <c r="B72" s="281"/>
      <c r="C72" s="14"/>
      <c r="D72" s="14"/>
      <c r="E72" s="281"/>
      <c r="F72" s="281"/>
      <c r="G72" s="281"/>
      <c r="H72" s="281"/>
      <c r="I72" s="281"/>
      <c r="J72" s="281"/>
      <c r="K72" s="281"/>
      <c r="L72" s="281"/>
      <c r="M72" s="14"/>
      <c r="N72" s="14"/>
      <c r="O72" s="14"/>
      <c r="P72" s="2185"/>
      <c r="Q72" s="2185"/>
      <c r="R72" s="14"/>
      <c r="S72" s="281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40"/>
      <c r="AH72" s="40"/>
      <c r="AI72" s="14"/>
      <c r="AJ72" s="14"/>
      <c r="AK72" s="14"/>
      <c r="AL72" s="14"/>
      <c r="AM72" s="1780"/>
      <c r="AN72" s="40"/>
      <c r="AO72" s="1780"/>
      <c r="AP72" s="40"/>
      <c r="AQ72" s="203"/>
      <c r="AR72" s="203"/>
      <c r="AS72" s="14"/>
      <c r="AT72" s="14"/>
      <c r="AU72" s="14"/>
      <c r="AV72" s="14"/>
      <c r="AW72" s="14"/>
      <c r="AX72" s="1851"/>
      <c r="AY72" s="40"/>
      <c r="AZ72" s="204"/>
      <c r="BA72" s="204"/>
      <c r="BB72" s="204"/>
      <c r="BC72" s="1885"/>
      <c r="BD72" s="204"/>
      <c r="BE72" s="14"/>
      <c r="BF72" s="1545"/>
      <c r="BG72" s="1786"/>
      <c r="BH72" s="1786"/>
      <c r="BI72" s="14"/>
      <c r="BJ72" s="14"/>
      <c r="BK72" s="40"/>
      <c r="BL72" s="14"/>
      <c r="BM72" s="14"/>
      <c r="BN72" s="1851"/>
      <c r="BO72" s="14"/>
      <c r="BP72" s="14"/>
      <c r="BQ72" s="1786"/>
      <c r="BR72" s="1786"/>
      <c r="BS72" s="14"/>
      <c r="BT72" s="14"/>
      <c r="BU72" s="14"/>
      <c r="BV72" s="14"/>
      <c r="BW72" s="1786"/>
      <c r="BX72" s="1780"/>
      <c r="BY72" s="1780"/>
      <c r="BZ72" s="1780"/>
      <c r="CA72" s="1780"/>
      <c r="CB72" s="1780"/>
      <c r="CC72" s="1780"/>
      <c r="CD72" s="1780"/>
      <c r="CE72" s="1780"/>
      <c r="CF72" s="1780"/>
      <c r="CG72" s="1780"/>
      <c r="CH72" s="1780"/>
      <c r="CI72" s="1780"/>
      <c r="CJ72" s="1780"/>
      <c r="CK72" s="1780"/>
      <c r="CL72" s="1780"/>
    </row>
    <row r="73" spans="1:90" ht="16" customHeight="1" x14ac:dyDescent="0.15">
      <c r="A73" s="13"/>
      <c r="B73" s="281"/>
      <c r="C73" s="14"/>
      <c r="D73" s="14"/>
      <c r="E73" s="281"/>
      <c r="F73" s="281"/>
      <c r="G73" s="281"/>
      <c r="H73" s="281"/>
      <c r="I73" s="281"/>
      <c r="J73" s="281"/>
      <c r="K73" s="281"/>
      <c r="L73" s="281"/>
      <c r="M73" s="14"/>
      <c r="N73" s="14"/>
      <c r="O73" s="14"/>
      <c r="P73" s="2185"/>
      <c r="Q73" s="2185"/>
      <c r="R73" s="14"/>
      <c r="S73" s="281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40"/>
      <c r="AH73" s="40"/>
      <c r="AI73" s="14"/>
      <c r="AJ73" s="14"/>
      <c r="AK73" s="14"/>
      <c r="AL73" s="14"/>
      <c r="AM73" s="1780"/>
      <c r="AN73" s="40"/>
      <c r="AO73" s="1780"/>
      <c r="AP73" s="40"/>
      <c r="AQ73" s="203"/>
      <c r="AR73" s="203"/>
      <c r="AS73" s="14"/>
      <c r="AT73" s="14"/>
      <c r="AU73" s="14"/>
      <c r="AV73" s="14"/>
      <c r="AW73" s="14"/>
      <c r="AX73" s="1851"/>
      <c r="AY73" s="40"/>
      <c r="AZ73" s="204"/>
      <c r="BA73" s="204"/>
      <c r="BB73" s="204"/>
      <c r="BC73" s="1885"/>
      <c r="BD73" s="204"/>
      <c r="BE73" s="14"/>
      <c r="BF73" s="1545"/>
      <c r="BG73" s="1786"/>
      <c r="BH73" s="1786"/>
      <c r="BI73" s="14"/>
      <c r="BJ73" s="14"/>
      <c r="BK73" s="40"/>
      <c r="BL73" s="14"/>
      <c r="BM73" s="14"/>
      <c r="BN73" s="1851"/>
      <c r="BO73" s="14"/>
      <c r="BP73" s="14"/>
      <c r="BQ73" s="1786"/>
      <c r="BR73" s="1786"/>
      <c r="BS73" s="14"/>
      <c r="BT73" s="14"/>
      <c r="BU73" s="14"/>
      <c r="BV73" s="14"/>
      <c r="BW73" s="1786"/>
      <c r="BX73" s="1780"/>
      <c r="BY73" s="1780"/>
      <c r="BZ73" s="1780"/>
      <c r="CA73" s="1780"/>
      <c r="CB73" s="1780"/>
      <c r="CC73" s="1780"/>
      <c r="CD73" s="1780"/>
      <c r="CE73" s="1780"/>
      <c r="CF73" s="1780"/>
      <c r="CG73" s="1780"/>
      <c r="CH73" s="1780"/>
      <c r="CI73" s="1780"/>
      <c r="CJ73" s="1780"/>
      <c r="CK73" s="1780"/>
      <c r="CL73" s="1780"/>
    </row>
    <row r="74" spans="1:90" ht="16" customHeight="1" x14ac:dyDescent="0.15">
      <c r="A74" s="13"/>
      <c r="B74" s="281"/>
      <c r="C74" s="14"/>
      <c r="D74" s="14"/>
      <c r="E74" s="281"/>
      <c r="F74" s="281"/>
      <c r="G74" s="281"/>
      <c r="H74" s="281"/>
      <c r="I74" s="281"/>
      <c r="J74" s="281"/>
      <c r="K74" s="281"/>
      <c r="L74" s="281"/>
      <c r="M74" s="14"/>
      <c r="N74" s="14"/>
      <c r="O74" s="14"/>
      <c r="P74" s="2185"/>
      <c r="Q74" s="2185"/>
      <c r="R74" s="14"/>
      <c r="S74" s="281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40"/>
      <c r="AH74" s="40"/>
      <c r="AI74" s="14"/>
      <c r="AJ74" s="14"/>
      <c r="AK74" s="14"/>
      <c r="AL74" s="14"/>
      <c r="AM74" s="1780"/>
      <c r="AN74" s="40"/>
      <c r="AO74" s="1780"/>
      <c r="AP74" s="40"/>
      <c r="AQ74" s="203"/>
      <c r="AR74" s="203"/>
      <c r="AS74" s="14"/>
      <c r="AT74" s="14"/>
      <c r="AU74" s="14"/>
      <c r="AV74" s="14"/>
      <c r="AW74" s="14"/>
      <c r="AX74" s="1851"/>
      <c r="AY74" s="40"/>
      <c r="AZ74" s="204"/>
      <c r="BA74" s="204"/>
      <c r="BB74" s="204"/>
      <c r="BC74" s="1885"/>
      <c r="BD74" s="204"/>
      <c r="BE74" s="14"/>
      <c r="BF74" s="1545"/>
      <c r="BG74" s="1786"/>
      <c r="BH74" s="1786"/>
      <c r="BI74" s="14"/>
      <c r="BJ74" s="14"/>
      <c r="BK74" s="40"/>
      <c r="BL74" s="14"/>
      <c r="BM74" s="14"/>
      <c r="BN74" s="1851"/>
      <c r="BO74" s="14"/>
      <c r="BP74" s="14"/>
      <c r="BQ74" s="1786"/>
      <c r="BR74" s="1786"/>
      <c r="BS74" s="14"/>
      <c r="BT74" s="14"/>
      <c r="BU74" s="14"/>
      <c r="BV74" s="14"/>
      <c r="BW74" s="1786"/>
      <c r="BX74" s="1780"/>
      <c r="BY74" s="1780"/>
      <c r="BZ74" s="1780"/>
      <c r="CA74" s="1780"/>
      <c r="CB74" s="1780"/>
      <c r="CC74" s="1780"/>
      <c r="CD74" s="1780"/>
      <c r="CE74" s="1780"/>
      <c r="CF74" s="1780"/>
      <c r="CG74" s="1780"/>
      <c r="CH74" s="1780"/>
      <c r="CI74" s="1780"/>
      <c r="CJ74" s="1780"/>
      <c r="CK74" s="1780"/>
      <c r="CL74" s="1780"/>
    </row>
    <row r="75" spans="1:90" ht="16" customHeight="1" x14ac:dyDescent="0.15">
      <c r="A75" s="13"/>
      <c r="B75" s="281"/>
      <c r="C75" s="14"/>
      <c r="D75" s="14"/>
      <c r="E75" s="281"/>
      <c r="F75" s="281"/>
      <c r="G75" s="281"/>
      <c r="H75" s="281"/>
      <c r="I75" s="281"/>
      <c r="J75" s="281"/>
      <c r="K75" s="281"/>
      <c r="L75" s="281"/>
      <c r="M75" s="14"/>
      <c r="N75" s="14"/>
      <c r="O75" s="14"/>
      <c r="P75" s="2185"/>
      <c r="Q75" s="2185"/>
      <c r="R75" s="14"/>
      <c r="S75" s="281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40"/>
      <c r="AH75" s="40"/>
      <c r="AI75" s="14"/>
      <c r="AJ75" s="14"/>
      <c r="AK75" s="14"/>
      <c r="AL75" s="14"/>
      <c r="AM75" s="1780"/>
      <c r="AN75" s="40"/>
      <c r="AO75" s="1780"/>
      <c r="AP75" s="40"/>
      <c r="AQ75" s="203"/>
      <c r="AR75" s="203"/>
      <c r="AS75" s="14"/>
      <c r="AT75" s="14"/>
      <c r="AU75" s="14"/>
      <c r="AV75" s="14"/>
      <c r="AW75" s="14"/>
      <c r="AX75" s="1851"/>
      <c r="AY75" s="40"/>
      <c r="AZ75" s="204"/>
      <c r="BA75" s="204"/>
      <c r="BB75" s="204"/>
      <c r="BC75" s="1885"/>
      <c r="BD75" s="204"/>
      <c r="BE75" s="14"/>
      <c r="BF75" s="1545"/>
      <c r="BG75" s="1786"/>
      <c r="BH75" s="1786"/>
      <c r="BI75" s="14"/>
      <c r="BJ75" s="14"/>
      <c r="BK75" s="40"/>
      <c r="BL75" s="14"/>
      <c r="BM75" s="14"/>
      <c r="BN75" s="1851"/>
      <c r="BO75" s="14"/>
      <c r="BP75" s="14"/>
      <c r="BQ75" s="1786"/>
      <c r="BR75" s="1786"/>
      <c r="BS75" s="14"/>
      <c r="BT75" s="14"/>
      <c r="BU75" s="14"/>
      <c r="BV75" s="14"/>
      <c r="BW75" s="1786"/>
      <c r="BX75" s="1780"/>
      <c r="BY75" s="1780"/>
      <c r="BZ75" s="1780"/>
      <c r="CA75" s="1780"/>
      <c r="CB75" s="1780"/>
      <c r="CC75" s="1780"/>
      <c r="CD75" s="1780"/>
      <c r="CE75" s="1780"/>
      <c r="CF75" s="1780"/>
      <c r="CG75" s="1780"/>
      <c r="CH75" s="1780"/>
      <c r="CI75" s="1780"/>
      <c r="CJ75" s="1780"/>
      <c r="CK75" s="1780"/>
      <c r="CL75" s="1780"/>
    </row>
    <row r="76" spans="1:90" ht="16" customHeight="1" x14ac:dyDescent="0.15">
      <c r="A76" s="13"/>
      <c r="B76" s="281"/>
      <c r="C76" s="14"/>
      <c r="D76" s="14"/>
      <c r="E76" s="281"/>
      <c r="F76" s="281"/>
      <c r="G76" s="281"/>
      <c r="H76" s="281"/>
      <c r="I76" s="281"/>
      <c r="J76" s="281"/>
      <c r="K76" s="281"/>
      <c r="L76" s="281"/>
      <c r="M76" s="14"/>
      <c r="N76" s="14"/>
      <c r="O76" s="14"/>
      <c r="P76" s="2185"/>
      <c r="Q76" s="2185"/>
      <c r="R76" s="14"/>
      <c r="S76" s="281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40"/>
      <c r="AH76" s="40"/>
      <c r="AI76" s="14"/>
      <c r="AJ76" s="14"/>
      <c r="AK76" s="14"/>
      <c r="AL76" s="14"/>
      <c r="AM76" s="1780"/>
      <c r="AN76" s="40"/>
      <c r="AO76" s="1780"/>
      <c r="AP76" s="40"/>
      <c r="AQ76" s="203"/>
      <c r="AR76" s="203"/>
      <c r="AS76" s="14"/>
      <c r="AT76" s="14"/>
      <c r="AU76" s="14"/>
      <c r="AV76" s="14"/>
      <c r="AW76" s="14"/>
      <c r="AX76" s="1851"/>
      <c r="AY76" s="40"/>
      <c r="AZ76" s="204"/>
      <c r="BA76" s="204"/>
      <c r="BB76" s="204"/>
      <c r="BC76" s="1885"/>
      <c r="BD76" s="204"/>
      <c r="BE76" s="14"/>
      <c r="BF76" s="1545"/>
      <c r="BG76" s="1786"/>
      <c r="BH76" s="1786"/>
      <c r="BI76" s="14"/>
      <c r="BJ76" s="14"/>
      <c r="BK76" s="40"/>
      <c r="BL76" s="14"/>
      <c r="BM76" s="14"/>
      <c r="BN76" s="1851"/>
      <c r="BO76" s="14"/>
      <c r="BP76" s="14"/>
      <c r="BQ76" s="1786"/>
      <c r="BR76" s="1786"/>
      <c r="BS76" s="14"/>
      <c r="BT76" s="14"/>
      <c r="BU76" s="14"/>
      <c r="BV76" s="14"/>
      <c r="BW76" s="1786"/>
      <c r="BX76" s="1780"/>
      <c r="BY76" s="1780"/>
      <c r="BZ76" s="1780"/>
      <c r="CA76" s="1780"/>
      <c r="CB76" s="1780"/>
      <c r="CC76" s="1780"/>
      <c r="CD76" s="1780"/>
      <c r="CE76" s="1780"/>
      <c r="CF76" s="1780"/>
      <c r="CG76" s="1780"/>
      <c r="CH76" s="1780"/>
      <c r="CI76" s="1780"/>
      <c r="CJ76" s="1780"/>
      <c r="CK76" s="1780"/>
      <c r="CL76" s="1780"/>
    </row>
    <row r="77" spans="1:90" ht="16" customHeight="1" x14ac:dyDescent="0.15">
      <c r="A77" s="13"/>
      <c r="B77" s="281"/>
      <c r="C77" s="14"/>
      <c r="D77" s="14"/>
      <c r="E77" s="281"/>
      <c r="F77" s="281"/>
      <c r="G77" s="281"/>
      <c r="H77" s="281"/>
      <c r="I77" s="281"/>
      <c r="J77" s="281"/>
      <c r="K77" s="281"/>
      <c r="L77" s="281"/>
      <c r="M77" s="14"/>
      <c r="N77" s="14"/>
      <c r="O77" s="14"/>
      <c r="P77" s="2185"/>
      <c r="Q77" s="2185"/>
      <c r="R77" s="14"/>
      <c r="S77" s="281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40"/>
      <c r="AH77" s="40"/>
      <c r="AI77" s="14"/>
      <c r="AJ77" s="14"/>
      <c r="AK77" s="14"/>
      <c r="AL77" s="14"/>
      <c r="AM77" s="1780"/>
      <c r="AN77" s="40"/>
      <c r="AO77" s="1780"/>
      <c r="AP77" s="40"/>
      <c r="AQ77" s="203"/>
      <c r="AR77" s="203"/>
      <c r="AS77" s="14"/>
      <c r="AT77" s="14"/>
      <c r="AU77" s="14"/>
      <c r="AV77" s="14"/>
      <c r="AW77" s="14"/>
      <c r="AX77" s="1851"/>
      <c r="AY77" s="40"/>
      <c r="AZ77" s="204"/>
      <c r="BA77" s="204"/>
      <c r="BB77" s="204"/>
      <c r="BC77" s="1885"/>
      <c r="BD77" s="204"/>
      <c r="BE77" s="14"/>
      <c r="BF77" s="1545"/>
      <c r="BG77" s="1786"/>
      <c r="BH77" s="1786"/>
      <c r="BI77" s="14"/>
      <c r="BJ77" s="14"/>
      <c r="BK77" s="40"/>
      <c r="BL77" s="14"/>
      <c r="BM77" s="14"/>
      <c r="BN77" s="1851"/>
      <c r="BO77" s="14"/>
      <c r="BP77" s="14"/>
      <c r="BQ77" s="1786"/>
      <c r="BR77" s="1786"/>
      <c r="BS77" s="14"/>
      <c r="BT77" s="14"/>
      <c r="BU77" s="14"/>
      <c r="BV77" s="14"/>
      <c r="BW77" s="1786"/>
      <c r="BX77" s="1780"/>
      <c r="BY77" s="1780"/>
      <c r="BZ77" s="1780"/>
      <c r="CA77" s="1780"/>
      <c r="CB77" s="1780"/>
      <c r="CC77" s="1780"/>
      <c r="CD77" s="1780"/>
      <c r="CE77" s="1780"/>
      <c r="CF77" s="1780"/>
      <c r="CG77" s="1780"/>
      <c r="CH77" s="1780"/>
      <c r="CI77" s="1780"/>
      <c r="CJ77" s="1780"/>
      <c r="CK77" s="1780"/>
      <c r="CL77" s="1780"/>
    </row>
    <row r="78" spans="1:90" ht="16" customHeight="1" x14ac:dyDescent="0.15">
      <c r="A78" s="13"/>
      <c r="B78" s="281"/>
      <c r="C78" s="14"/>
      <c r="D78" s="14"/>
      <c r="E78" s="281"/>
      <c r="F78" s="281"/>
      <c r="G78" s="281"/>
      <c r="H78" s="281"/>
      <c r="I78" s="281"/>
      <c r="J78" s="281"/>
      <c r="K78" s="281"/>
      <c r="L78" s="281"/>
      <c r="M78" s="14"/>
      <c r="N78" s="14"/>
      <c r="O78" s="14"/>
      <c r="P78" s="2185"/>
      <c r="Q78" s="2185"/>
      <c r="R78" s="14"/>
      <c r="S78" s="281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40"/>
      <c r="AH78" s="40"/>
      <c r="AI78" s="14"/>
      <c r="AJ78" s="14"/>
      <c r="AK78" s="14"/>
      <c r="AL78" s="14"/>
      <c r="AM78" s="1780"/>
      <c r="AN78" s="40"/>
      <c r="AO78" s="1780"/>
      <c r="AP78" s="40"/>
      <c r="AQ78" s="203"/>
      <c r="AR78" s="203"/>
      <c r="AS78" s="14"/>
      <c r="AT78" s="14"/>
      <c r="AU78" s="14"/>
      <c r="AV78" s="14"/>
      <c r="AW78" s="14"/>
      <c r="AX78" s="1851"/>
      <c r="AY78" s="40"/>
      <c r="AZ78" s="204"/>
      <c r="BA78" s="204"/>
      <c r="BB78" s="204"/>
      <c r="BC78" s="1885"/>
      <c r="BD78" s="204"/>
      <c r="BE78" s="14"/>
      <c r="BF78" s="1545"/>
      <c r="BG78" s="1786"/>
      <c r="BH78" s="1786"/>
      <c r="BI78" s="14"/>
      <c r="BJ78" s="14"/>
      <c r="BK78" s="40"/>
      <c r="BL78" s="14"/>
      <c r="BM78" s="14"/>
      <c r="BN78" s="1851"/>
      <c r="BO78" s="14"/>
      <c r="BP78" s="14"/>
      <c r="BQ78" s="1786"/>
      <c r="BR78" s="1786"/>
      <c r="BS78" s="14"/>
      <c r="BT78" s="14"/>
      <c r="BU78" s="14"/>
      <c r="BV78" s="14"/>
      <c r="BW78" s="1786"/>
      <c r="BX78" s="1780"/>
      <c r="BY78" s="1780"/>
      <c r="BZ78" s="1780"/>
      <c r="CA78" s="1780"/>
      <c r="CB78" s="1780"/>
      <c r="CC78" s="1780"/>
      <c r="CD78" s="1780"/>
      <c r="CE78" s="1780"/>
      <c r="CF78" s="1780"/>
      <c r="CG78" s="1780"/>
      <c r="CH78" s="1780"/>
      <c r="CI78" s="1780"/>
      <c r="CJ78" s="1780"/>
      <c r="CK78" s="1780"/>
      <c r="CL78" s="1780"/>
    </row>
    <row r="79" spans="1:90" ht="16" customHeight="1" x14ac:dyDescent="0.15">
      <c r="A79" s="13"/>
      <c r="B79" s="281"/>
      <c r="C79" s="14"/>
      <c r="D79" s="14"/>
      <c r="E79" s="281"/>
      <c r="F79" s="281"/>
      <c r="G79" s="281"/>
      <c r="H79" s="281"/>
      <c r="I79" s="281"/>
      <c r="J79" s="281"/>
      <c r="K79" s="281"/>
      <c r="L79" s="281"/>
      <c r="M79" s="14"/>
      <c r="N79" s="14"/>
      <c r="O79" s="14"/>
      <c r="P79" s="2185"/>
      <c r="Q79" s="2185"/>
      <c r="R79" s="14"/>
      <c r="S79" s="281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40"/>
      <c r="AH79" s="40"/>
      <c r="AI79" s="14"/>
      <c r="AJ79" s="14"/>
      <c r="AK79" s="14"/>
      <c r="AL79" s="14"/>
      <c r="AM79" s="1780"/>
      <c r="AN79" s="40"/>
      <c r="AO79" s="1780"/>
      <c r="AP79" s="40"/>
      <c r="AQ79" s="203"/>
      <c r="AR79" s="203"/>
      <c r="AS79" s="14"/>
      <c r="AT79" s="14"/>
      <c r="AU79" s="14"/>
      <c r="AV79" s="14"/>
      <c r="AW79" s="14"/>
      <c r="AX79" s="1851"/>
      <c r="AY79" s="40"/>
      <c r="AZ79" s="204"/>
      <c r="BA79" s="204"/>
      <c r="BB79" s="204"/>
      <c r="BC79" s="1885"/>
      <c r="BD79" s="204"/>
      <c r="BE79" s="14"/>
      <c r="BF79" s="1545"/>
      <c r="BG79" s="1786"/>
      <c r="BH79" s="1786"/>
      <c r="BI79" s="14"/>
      <c r="BJ79" s="14"/>
      <c r="BK79" s="40"/>
      <c r="BL79" s="14"/>
      <c r="BM79" s="14"/>
      <c r="BN79" s="1851"/>
      <c r="BO79" s="14"/>
      <c r="BP79" s="14"/>
      <c r="BQ79" s="1786"/>
      <c r="BR79" s="1786"/>
      <c r="BS79" s="14"/>
      <c r="BT79" s="14"/>
      <c r="BU79" s="14"/>
      <c r="BV79" s="14"/>
      <c r="BW79" s="1786"/>
      <c r="BX79" s="1780"/>
      <c r="BY79" s="1780"/>
      <c r="BZ79" s="1780"/>
      <c r="CA79" s="1780"/>
      <c r="CB79" s="1780"/>
      <c r="CC79" s="1780"/>
      <c r="CD79" s="1780"/>
      <c r="CE79" s="1780"/>
      <c r="CF79" s="1780"/>
      <c r="CG79" s="1780"/>
      <c r="CH79" s="1780"/>
      <c r="CI79" s="1780"/>
      <c r="CJ79" s="1780"/>
      <c r="CK79" s="1780"/>
      <c r="CL79" s="1780"/>
    </row>
    <row r="80" spans="1:90" ht="16" customHeight="1" x14ac:dyDescent="0.15">
      <c r="A80" s="13"/>
      <c r="B80" s="281"/>
      <c r="C80" s="14"/>
      <c r="D80" s="14"/>
      <c r="E80" s="281"/>
      <c r="F80" s="281"/>
      <c r="G80" s="281"/>
      <c r="H80" s="281"/>
      <c r="I80" s="281"/>
      <c r="J80" s="281"/>
      <c r="K80" s="281"/>
      <c r="L80" s="281"/>
      <c r="M80" s="14"/>
      <c r="N80" s="14"/>
      <c r="O80" s="14"/>
      <c r="P80" s="2185"/>
      <c r="Q80" s="2185"/>
      <c r="R80" s="14"/>
      <c r="S80" s="281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40"/>
      <c r="AH80" s="40"/>
      <c r="AI80" s="14"/>
      <c r="AJ80" s="14"/>
      <c r="AK80" s="14"/>
      <c r="AL80" s="14"/>
      <c r="AM80" s="1780"/>
      <c r="AN80" s="40"/>
      <c r="AO80" s="1780"/>
      <c r="AP80" s="40"/>
      <c r="AQ80" s="203"/>
      <c r="AR80" s="203"/>
      <c r="AS80" s="14"/>
      <c r="AT80" s="14"/>
      <c r="AU80" s="14"/>
      <c r="AV80" s="14"/>
      <c r="AW80" s="14"/>
      <c r="AX80" s="1851"/>
      <c r="AY80" s="40"/>
      <c r="AZ80" s="204"/>
      <c r="BA80" s="204"/>
      <c r="BB80" s="204"/>
      <c r="BC80" s="1885"/>
      <c r="BD80" s="204"/>
      <c r="BE80" s="14"/>
      <c r="BF80" s="1545"/>
      <c r="BG80" s="1786"/>
      <c r="BH80" s="1786"/>
      <c r="BI80" s="14"/>
      <c r="BJ80" s="14"/>
      <c r="BK80" s="40"/>
      <c r="BL80" s="14"/>
      <c r="BM80" s="14"/>
      <c r="BN80" s="1851"/>
      <c r="BO80" s="14"/>
      <c r="BP80" s="14"/>
      <c r="BQ80" s="1786"/>
      <c r="BR80" s="1786"/>
      <c r="BS80" s="14"/>
      <c r="BT80" s="14"/>
      <c r="BU80" s="14"/>
      <c r="BV80" s="14"/>
      <c r="BW80" s="1786"/>
      <c r="BX80" s="1780"/>
      <c r="BY80" s="1780"/>
      <c r="BZ80" s="1780"/>
      <c r="CA80" s="1780"/>
      <c r="CB80" s="1780"/>
      <c r="CC80" s="1780"/>
      <c r="CD80" s="1780"/>
      <c r="CE80" s="1780"/>
      <c r="CF80" s="1780"/>
      <c r="CG80" s="1780"/>
      <c r="CH80" s="1780"/>
      <c r="CI80" s="1780"/>
      <c r="CJ80" s="1780"/>
      <c r="CK80" s="1780"/>
      <c r="CL80" s="1780"/>
    </row>
    <row r="81" spans="1:90" ht="16" customHeight="1" x14ac:dyDescent="0.15">
      <c r="A81" s="13"/>
      <c r="B81" s="281"/>
      <c r="C81" s="14"/>
      <c r="D81" s="14"/>
      <c r="E81" s="281"/>
      <c r="F81" s="281"/>
      <c r="G81" s="281"/>
      <c r="H81" s="281"/>
      <c r="I81" s="281"/>
      <c r="J81" s="281"/>
      <c r="K81" s="281"/>
      <c r="L81" s="281"/>
      <c r="M81" s="14"/>
      <c r="N81" s="14"/>
      <c r="O81" s="14"/>
      <c r="P81" s="2185"/>
      <c r="Q81" s="2185"/>
      <c r="R81" s="14"/>
      <c r="S81" s="281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40"/>
      <c r="AH81" s="40"/>
      <c r="AI81" s="14"/>
      <c r="AJ81" s="14"/>
      <c r="AK81" s="14"/>
      <c r="AL81" s="14"/>
      <c r="AM81" s="1780"/>
      <c r="AN81" s="40"/>
      <c r="AO81" s="1780"/>
      <c r="AP81" s="40"/>
      <c r="AQ81" s="203"/>
      <c r="AR81" s="203"/>
      <c r="AS81" s="14"/>
      <c r="AT81" s="14"/>
      <c r="AU81" s="14"/>
      <c r="AV81" s="14"/>
      <c r="AW81" s="14"/>
      <c r="AX81" s="1851"/>
      <c r="AY81" s="40"/>
      <c r="AZ81" s="204"/>
      <c r="BA81" s="204"/>
      <c r="BB81" s="204"/>
      <c r="BC81" s="1885"/>
      <c r="BD81" s="204"/>
      <c r="BE81" s="14"/>
      <c r="BF81" s="1545"/>
      <c r="BG81" s="1786"/>
      <c r="BH81" s="1786"/>
      <c r="BI81" s="14"/>
      <c r="BJ81" s="14"/>
      <c r="BK81" s="40"/>
      <c r="BL81" s="14"/>
      <c r="BM81" s="14"/>
      <c r="BN81" s="1851"/>
      <c r="BO81" s="14"/>
      <c r="BP81" s="14"/>
      <c r="BQ81" s="1786"/>
      <c r="BR81" s="1786"/>
      <c r="BS81" s="14"/>
      <c r="BT81" s="14"/>
      <c r="BU81" s="14"/>
      <c r="BV81" s="14"/>
      <c r="BW81" s="1786"/>
      <c r="BX81" s="1780"/>
      <c r="BY81" s="1780"/>
      <c r="BZ81" s="1780"/>
      <c r="CA81" s="1780"/>
      <c r="CB81" s="1780"/>
      <c r="CC81" s="1780"/>
      <c r="CD81" s="1780"/>
      <c r="CE81" s="1780"/>
      <c r="CF81" s="1780"/>
      <c r="CG81" s="1780"/>
      <c r="CH81" s="1780"/>
      <c r="CI81" s="1780"/>
      <c r="CJ81" s="1780"/>
      <c r="CK81" s="1780"/>
      <c r="CL81" s="1780"/>
    </row>
    <row r="82" spans="1:90" ht="16" customHeight="1" x14ac:dyDescent="0.15">
      <c r="A82" s="13"/>
      <c r="B82" s="281"/>
      <c r="C82" s="14"/>
      <c r="D82" s="14"/>
      <c r="E82" s="281"/>
      <c r="F82" s="281"/>
      <c r="G82" s="281"/>
      <c r="H82" s="281"/>
      <c r="I82" s="281"/>
      <c r="J82" s="281"/>
      <c r="K82" s="281"/>
      <c r="L82" s="281"/>
      <c r="M82" s="14"/>
      <c r="N82" s="14"/>
      <c r="O82" s="14"/>
      <c r="P82" s="2185"/>
      <c r="Q82" s="2185"/>
      <c r="R82" s="14"/>
      <c r="S82" s="281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40"/>
      <c r="AH82" s="40"/>
      <c r="AI82" s="14"/>
      <c r="AJ82" s="14"/>
      <c r="AK82" s="14"/>
      <c r="AL82" s="14"/>
      <c r="AM82" s="1780"/>
      <c r="AN82" s="40"/>
      <c r="AO82" s="1780"/>
      <c r="AP82" s="40"/>
      <c r="AQ82" s="203"/>
      <c r="AR82" s="203"/>
      <c r="AS82" s="14"/>
      <c r="AT82" s="14"/>
      <c r="AU82" s="14"/>
      <c r="AV82" s="14"/>
      <c r="AW82" s="14"/>
      <c r="AX82" s="1851"/>
      <c r="AY82" s="40"/>
      <c r="AZ82" s="204"/>
      <c r="BA82" s="204"/>
      <c r="BB82" s="204"/>
      <c r="BC82" s="1885"/>
      <c r="BD82" s="204"/>
      <c r="BE82" s="14"/>
      <c r="BF82" s="1545"/>
      <c r="BG82" s="1786"/>
      <c r="BH82" s="1786"/>
      <c r="BI82" s="14"/>
      <c r="BJ82" s="14"/>
      <c r="BK82" s="40"/>
      <c r="BL82" s="14"/>
      <c r="BM82" s="14"/>
      <c r="BN82" s="1851"/>
      <c r="BO82" s="14"/>
      <c r="BP82" s="14"/>
      <c r="BQ82" s="1786"/>
      <c r="BR82" s="1786"/>
      <c r="BS82" s="14"/>
      <c r="BT82" s="14"/>
      <c r="BU82" s="14"/>
      <c r="BV82" s="14"/>
      <c r="BW82" s="1786"/>
      <c r="BX82" s="1780"/>
      <c r="BY82" s="1780"/>
      <c r="BZ82" s="1780"/>
      <c r="CA82" s="1780"/>
      <c r="CB82" s="1780"/>
      <c r="CC82" s="1780"/>
      <c r="CD82" s="1780"/>
      <c r="CE82" s="1780"/>
      <c r="CF82" s="1780"/>
      <c r="CG82" s="1780"/>
      <c r="CH82" s="1780"/>
      <c r="CI82" s="1780"/>
      <c r="CJ82" s="1780"/>
      <c r="CK82" s="1780"/>
      <c r="CL82" s="1780"/>
    </row>
    <row r="83" spans="1:90" ht="16" customHeight="1" x14ac:dyDescent="0.15">
      <c r="A83" s="13"/>
      <c r="B83" s="281"/>
      <c r="C83" s="14"/>
      <c r="D83" s="14"/>
      <c r="E83" s="281"/>
      <c r="F83" s="281"/>
      <c r="G83" s="281"/>
      <c r="H83" s="281"/>
      <c r="I83" s="281"/>
      <c r="J83" s="281"/>
      <c r="K83" s="281"/>
      <c r="L83" s="281"/>
      <c r="M83" s="14"/>
      <c r="N83" s="14"/>
      <c r="O83" s="14"/>
      <c r="P83" s="2185"/>
      <c r="Q83" s="2185"/>
      <c r="R83" s="14"/>
      <c r="S83" s="281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40"/>
      <c r="AH83" s="40"/>
      <c r="AI83" s="14"/>
      <c r="AJ83" s="14"/>
      <c r="AK83" s="14"/>
      <c r="AL83" s="14"/>
      <c r="AM83" s="1780"/>
      <c r="AN83" s="40"/>
      <c r="AO83" s="1780"/>
      <c r="AP83" s="40"/>
      <c r="AQ83" s="203"/>
      <c r="AR83" s="203"/>
      <c r="AS83" s="14"/>
      <c r="AT83" s="14"/>
      <c r="AU83" s="14"/>
      <c r="AV83" s="14"/>
      <c r="AW83" s="14"/>
      <c r="AX83" s="1851"/>
      <c r="AY83" s="40"/>
      <c r="AZ83" s="204"/>
      <c r="BA83" s="204"/>
      <c r="BB83" s="204"/>
      <c r="BC83" s="1885"/>
      <c r="BD83" s="204"/>
      <c r="BE83" s="14"/>
      <c r="BF83" s="1545"/>
      <c r="BG83" s="1786"/>
      <c r="BH83" s="1786"/>
      <c r="BI83" s="14"/>
      <c r="BJ83" s="14"/>
      <c r="BK83" s="40"/>
      <c r="BL83" s="14"/>
      <c r="BM83" s="14"/>
      <c r="BN83" s="1851"/>
      <c r="BO83" s="14"/>
      <c r="BP83" s="14"/>
      <c r="BQ83" s="1786"/>
      <c r="BR83" s="1786"/>
      <c r="BS83" s="14"/>
      <c r="BT83" s="14"/>
      <c r="BU83" s="14"/>
      <c r="BV83" s="14"/>
      <c r="BW83" s="1786"/>
      <c r="BX83" s="1780"/>
      <c r="BY83" s="1780"/>
      <c r="BZ83" s="1780"/>
      <c r="CA83" s="1780"/>
      <c r="CB83" s="1780"/>
      <c r="CC83" s="1780"/>
      <c r="CD83" s="1780"/>
      <c r="CE83" s="1780"/>
      <c r="CF83" s="1780"/>
      <c r="CG83" s="1780"/>
      <c r="CH83" s="1780"/>
      <c r="CI83" s="1780"/>
      <c r="CJ83" s="1780"/>
      <c r="CK83" s="1780"/>
      <c r="CL83" s="1780"/>
    </row>
    <row r="84" spans="1:90" ht="16" customHeight="1" x14ac:dyDescent="0.15">
      <c r="A84" s="13"/>
      <c r="B84" s="281"/>
      <c r="C84" s="14"/>
      <c r="D84" s="14"/>
      <c r="E84" s="281"/>
      <c r="F84" s="281"/>
      <c r="G84" s="281"/>
      <c r="H84" s="281"/>
      <c r="I84" s="281"/>
      <c r="J84" s="281"/>
      <c r="K84" s="281"/>
      <c r="L84" s="281"/>
      <c r="M84" s="14"/>
      <c r="N84" s="14"/>
      <c r="O84" s="14"/>
      <c r="P84" s="2185"/>
      <c r="Q84" s="2185"/>
      <c r="R84" s="14"/>
      <c r="S84" s="281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40"/>
      <c r="AH84" s="40"/>
      <c r="AI84" s="14"/>
      <c r="AJ84" s="14"/>
      <c r="AK84" s="14"/>
      <c r="AL84" s="14"/>
      <c r="AM84" s="1780"/>
      <c r="AN84" s="40"/>
      <c r="AO84" s="1780"/>
      <c r="AP84" s="40"/>
      <c r="AQ84" s="203"/>
      <c r="AR84" s="203"/>
      <c r="AS84" s="14"/>
      <c r="AT84" s="14"/>
      <c r="AU84" s="14"/>
      <c r="AV84" s="14"/>
      <c r="AW84" s="14"/>
      <c r="AX84" s="1851"/>
      <c r="AY84" s="40"/>
      <c r="AZ84" s="204"/>
      <c r="BA84" s="204"/>
      <c r="BB84" s="204"/>
      <c r="BC84" s="1885"/>
      <c r="BD84" s="204"/>
      <c r="BE84" s="14"/>
      <c r="BF84" s="1545"/>
      <c r="BG84" s="1786"/>
      <c r="BH84" s="1786"/>
      <c r="BI84" s="14"/>
      <c r="BJ84" s="14"/>
      <c r="BK84" s="40"/>
      <c r="BL84" s="14"/>
      <c r="BM84" s="14"/>
      <c r="BN84" s="1851"/>
      <c r="BO84" s="14"/>
      <c r="BP84" s="14"/>
      <c r="BQ84" s="1786"/>
      <c r="BR84" s="1786"/>
      <c r="BS84" s="14"/>
      <c r="BT84" s="14"/>
      <c r="BU84" s="14"/>
      <c r="BV84" s="14"/>
      <c r="BW84" s="1786"/>
      <c r="BX84" s="1780"/>
      <c r="BY84" s="1780"/>
      <c r="BZ84" s="1780"/>
      <c r="CA84" s="1780"/>
      <c r="CB84" s="1780"/>
      <c r="CC84" s="1780"/>
      <c r="CD84" s="1780"/>
      <c r="CE84" s="1780"/>
      <c r="CF84" s="1780"/>
      <c r="CG84" s="1780"/>
      <c r="CH84" s="1780"/>
      <c r="CI84" s="1780"/>
      <c r="CJ84" s="1780"/>
      <c r="CK84" s="1780"/>
      <c r="CL84" s="1780"/>
    </row>
    <row r="85" spans="1:90" ht="16" customHeight="1" x14ac:dyDescent="0.15">
      <c r="A85" s="13"/>
      <c r="B85" s="281"/>
      <c r="C85" s="14"/>
      <c r="D85" s="14"/>
      <c r="E85" s="281"/>
      <c r="F85" s="281"/>
      <c r="G85" s="281"/>
      <c r="H85" s="281"/>
      <c r="I85" s="281"/>
      <c r="J85" s="281"/>
      <c r="K85" s="281"/>
      <c r="L85" s="281"/>
      <c r="M85" s="14"/>
      <c r="N85" s="14"/>
      <c r="O85" s="14"/>
      <c r="P85" s="2185"/>
      <c r="Q85" s="2185"/>
      <c r="R85" s="14"/>
      <c r="S85" s="281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40"/>
      <c r="AH85" s="40"/>
      <c r="AI85" s="14"/>
      <c r="AJ85" s="14"/>
      <c r="AK85" s="14"/>
      <c r="AL85" s="14"/>
      <c r="AM85" s="1780"/>
      <c r="AN85" s="40"/>
      <c r="AO85" s="1780"/>
      <c r="AP85" s="40"/>
      <c r="AQ85" s="203"/>
      <c r="AR85" s="203"/>
      <c r="AS85" s="14"/>
      <c r="AT85" s="14"/>
      <c r="AU85" s="14"/>
      <c r="AV85" s="14"/>
      <c r="AW85" s="14"/>
      <c r="AX85" s="1851"/>
      <c r="AY85" s="40"/>
      <c r="AZ85" s="204"/>
      <c r="BA85" s="204"/>
      <c r="BB85" s="204"/>
      <c r="BC85" s="1885"/>
      <c r="BD85" s="204"/>
      <c r="BE85" s="14"/>
      <c r="BF85" s="1545"/>
      <c r="BG85" s="1786"/>
      <c r="BH85" s="1786"/>
      <c r="BI85" s="14"/>
      <c r="BJ85" s="14"/>
      <c r="BK85" s="40"/>
      <c r="BL85" s="14"/>
      <c r="BM85" s="14"/>
      <c r="BN85" s="1851"/>
      <c r="BO85" s="14"/>
      <c r="BP85" s="14"/>
      <c r="BQ85" s="1786"/>
      <c r="BR85" s="1786"/>
      <c r="BS85" s="14"/>
      <c r="BT85" s="14"/>
      <c r="BU85" s="14"/>
      <c r="BV85" s="14"/>
      <c r="BW85" s="1786"/>
      <c r="BX85" s="1780"/>
      <c r="BY85" s="1780"/>
      <c r="BZ85" s="1780"/>
      <c r="CA85" s="1780"/>
      <c r="CB85" s="1780"/>
      <c r="CC85" s="1780"/>
      <c r="CD85" s="1780"/>
      <c r="CE85" s="1780"/>
      <c r="CF85" s="1780"/>
      <c r="CG85" s="1780"/>
      <c r="CH85" s="1780"/>
      <c r="CI85" s="1780"/>
      <c r="CJ85" s="1780"/>
      <c r="CK85" s="1780"/>
      <c r="CL85" s="1780"/>
    </row>
    <row r="86" spans="1:90" ht="16" customHeight="1" x14ac:dyDescent="0.15">
      <c r="A86" s="13"/>
      <c r="B86" s="281"/>
      <c r="C86" s="14"/>
      <c r="D86" s="14"/>
      <c r="E86" s="281"/>
      <c r="F86" s="281"/>
      <c r="G86" s="281"/>
      <c r="H86" s="281"/>
      <c r="I86" s="281"/>
      <c r="J86" s="281"/>
      <c r="K86" s="281"/>
      <c r="L86" s="281"/>
      <c r="M86" s="14"/>
      <c r="N86" s="14"/>
      <c r="O86" s="14"/>
      <c r="P86" s="2185"/>
      <c r="Q86" s="2185"/>
      <c r="R86" s="14"/>
      <c r="S86" s="281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40"/>
      <c r="AH86" s="40"/>
      <c r="AI86" s="14"/>
      <c r="AJ86" s="14"/>
      <c r="AK86" s="14"/>
      <c r="AL86" s="14"/>
      <c r="AM86" s="1780"/>
      <c r="AN86" s="40"/>
      <c r="AO86" s="1780"/>
      <c r="AP86" s="40"/>
      <c r="AQ86" s="203"/>
      <c r="AR86" s="203"/>
      <c r="AS86" s="14"/>
      <c r="AT86" s="14"/>
      <c r="AU86" s="14"/>
      <c r="AV86" s="14"/>
      <c r="AW86" s="14"/>
      <c r="AX86" s="1851"/>
      <c r="AY86" s="40"/>
      <c r="AZ86" s="204"/>
      <c r="BA86" s="204"/>
      <c r="BB86" s="204"/>
      <c r="BC86" s="1885"/>
      <c r="BD86" s="204"/>
      <c r="BE86" s="14"/>
      <c r="BF86" s="1545"/>
      <c r="BG86" s="1786"/>
      <c r="BH86" s="1786"/>
      <c r="BI86" s="14"/>
      <c r="BJ86" s="14"/>
      <c r="BK86" s="40"/>
      <c r="BL86" s="14"/>
      <c r="BM86" s="14"/>
      <c r="BN86" s="1851"/>
      <c r="BO86" s="14"/>
      <c r="BP86" s="14"/>
      <c r="BQ86" s="1786"/>
      <c r="BR86" s="1786"/>
      <c r="BS86" s="14"/>
      <c r="BT86" s="14"/>
      <c r="BU86" s="14"/>
      <c r="BV86" s="14"/>
      <c r="BW86" s="1786"/>
      <c r="BX86" s="1780"/>
      <c r="BY86" s="1780"/>
      <c r="BZ86" s="1780"/>
      <c r="CA86" s="1780"/>
      <c r="CB86" s="1780"/>
      <c r="CC86" s="1780"/>
      <c r="CD86" s="1780"/>
      <c r="CE86" s="1780"/>
      <c r="CF86" s="1780"/>
      <c r="CG86" s="1780"/>
      <c r="CH86" s="1780"/>
      <c r="CI86" s="1780"/>
      <c r="CJ86" s="1780"/>
      <c r="CK86" s="1780"/>
      <c r="CL86" s="1780"/>
    </row>
    <row r="87" spans="1:90" ht="16" customHeight="1" x14ac:dyDescent="0.15">
      <c r="A87" s="13"/>
      <c r="B87" s="281"/>
      <c r="C87" s="14"/>
      <c r="D87" s="14"/>
      <c r="E87" s="281"/>
      <c r="F87" s="281"/>
      <c r="G87" s="281"/>
      <c r="H87" s="281"/>
      <c r="I87" s="281"/>
      <c r="J87" s="281"/>
      <c r="K87" s="281"/>
      <c r="L87" s="281"/>
      <c r="M87" s="14"/>
      <c r="N87" s="14"/>
      <c r="O87" s="14"/>
      <c r="P87" s="2185"/>
      <c r="Q87" s="2185"/>
      <c r="R87" s="14"/>
      <c r="S87" s="281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40"/>
      <c r="AH87" s="40"/>
      <c r="AI87" s="14"/>
      <c r="AJ87" s="14"/>
      <c r="AK87" s="14"/>
      <c r="AL87" s="14"/>
      <c r="AM87" s="1780"/>
      <c r="AN87" s="40"/>
      <c r="AO87" s="1780"/>
      <c r="AP87" s="40"/>
      <c r="AQ87" s="203"/>
      <c r="AR87" s="203"/>
      <c r="AS87" s="14"/>
      <c r="AT87" s="14"/>
      <c r="AU87" s="14"/>
      <c r="AV87" s="14"/>
      <c r="AW87" s="14"/>
      <c r="AX87" s="1851"/>
      <c r="AY87" s="40"/>
      <c r="AZ87" s="204"/>
      <c r="BA87" s="204"/>
      <c r="BB87" s="204"/>
      <c r="BC87" s="1885"/>
      <c r="BD87" s="204"/>
      <c r="BE87" s="14"/>
      <c r="BF87" s="1545"/>
      <c r="BG87" s="1786"/>
      <c r="BH87" s="1786"/>
      <c r="BI87" s="14"/>
      <c r="BJ87" s="14"/>
      <c r="BK87" s="40"/>
      <c r="BL87" s="14"/>
      <c r="BM87" s="14"/>
      <c r="BN87" s="1851"/>
      <c r="BO87" s="14"/>
      <c r="BP87" s="14"/>
      <c r="BQ87" s="1786"/>
      <c r="BR87" s="1786"/>
      <c r="BS87" s="14"/>
      <c r="BT87" s="14"/>
      <c r="BU87" s="14"/>
      <c r="BV87" s="14"/>
      <c r="BW87" s="1786"/>
      <c r="BX87" s="1780"/>
      <c r="BY87" s="1780"/>
      <c r="BZ87" s="1780"/>
      <c r="CA87" s="1780"/>
      <c r="CB87" s="1780"/>
      <c r="CC87" s="1780"/>
      <c r="CD87" s="1780"/>
      <c r="CE87" s="1780"/>
      <c r="CF87" s="1780"/>
      <c r="CG87" s="1780"/>
      <c r="CH87" s="1780"/>
      <c r="CI87" s="1780"/>
      <c r="CJ87" s="1780"/>
      <c r="CK87" s="1780"/>
      <c r="CL87" s="1780"/>
    </row>
    <row r="88" spans="1:90" ht="16" customHeight="1" x14ac:dyDescent="0.15">
      <c r="A88" s="13"/>
      <c r="B88" s="281"/>
      <c r="C88" s="14"/>
      <c r="D88" s="14"/>
      <c r="E88" s="281"/>
      <c r="F88" s="281"/>
      <c r="G88" s="281"/>
      <c r="H88" s="281"/>
      <c r="I88" s="281"/>
      <c r="J88" s="281"/>
      <c r="K88" s="281"/>
      <c r="L88" s="281"/>
      <c r="M88" s="14"/>
      <c r="N88" s="14"/>
      <c r="O88" s="14"/>
      <c r="P88" s="2185"/>
      <c r="Q88" s="2185"/>
      <c r="R88" s="14"/>
      <c r="S88" s="281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40"/>
      <c r="AH88" s="40"/>
      <c r="AI88" s="14"/>
      <c r="AJ88" s="14"/>
      <c r="AK88" s="14"/>
      <c r="AL88" s="14"/>
      <c r="AM88" s="1780"/>
      <c r="AN88" s="40"/>
      <c r="AO88" s="1780"/>
      <c r="AP88" s="40"/>
      <c r="AQ88" s="203"/>
      <c r="AR88" s="203"/>
      <c r="AS88" s="14"/>
      <c r="AT88" s="14"/>
      <c r="AU88" s="14"/>
      <c r="AV88" s="14"/>
      <c r="AW88" s="14"/>
      <c r="AX88" s="1851"/>
      <c r="AY88" s="40"/>
      <c r="AZ88" s="204"/>
      <c r="BA88" s="204"/>
      <c r="BB88" s="204"/>
      <c r="BC88" s="1885"/>
      <c r="BD88" s="204"/>
      <c r="BE88" s="14"/>
      <c r="BF88" s="1545"/>
      <c r="BG88" s="1786"/>
      <c r="BH88" s="1786"/>
      <c r="BI88" s="14"/>
      <c r="BJ88" s="14"/>
      <c r="BK88" s="40"/>
      <c r="BL88" s="14"/>
      <c r="BM88" s="14"/>
      <c r="BN88" s="1851"/>
      <c r="BO88" s="14"/>
      <c r="BP88" s="14"/>
      <c r="BQ88" s="1786"/>
      <c r="BR88" s="1786"/>
      <c r="BS88" s="14"/>
      <c r="BT88" s="14"/>
      <c r="BU88" s="14"/>
      <c r="BV88" s="14"/>
      <c r="BW88" s="1786"/>
      <c r="BX88" s="1780"/>
      <c r="BY88" s="1780"/>
      <c r="BZ88" s="1780"/>
      <c r="CA88" s="1780"/>
      <c r="CB88" s="1780"/>
      <c r="CC88" s="1780"/>
      <c r="CD88" s="1780"/>
      <c r="CE88" s="1780"/>
      <c r="CF88" s="1780"/>
      <c r="CG88" s="1780"/>
      <c r="CH88" s="1780"/>
      <c r="CI88" s="1780"/>
      <c r="CJ88" s="1780"/>
      <c r="CK88" s="1780"/>
      <c r="CL88" s="1780"/>
    </row>
    <row r="89" spans="1:90" ht="16" customHeight="1" x14ac:dyDescent="0.15">
      <c r="A89" s="13"/>
      <c r="B89" s="281"/>
      <c r="C89" s="14"/>
      <c r="D89" s="14"/>
      <c r="E89" s="281"/>
      <c r="F89" s="281"/>
      <c r="G89" s="281"/>
      <c r="H89" s="281"/>
      <c r="I89" s="281"/>
      <c r="J89" s="281"/>
      <c r="K89" s="281"/>
      <c r="L89" s="281"/>
      <c r="M89" s="14"/>
      <c r="N89" s="14"/>
      <c r="O89" s="14"/>
      <c r="P89" s="2185"/>
      <c r="Q89" s="2185"/>
      <c r="R89" s="14"/>
      <c r="S89" s="281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40"/>
      <c r="AH89" s="40"/>
      <c r="AI89" s="14"/>
      <c r="AJ89" s="14"/>
      <c r="AK89" s="14"/>
      <c r="AL89" s="14"/>
      <c r="AM89" s="1780"/>
      <c r="AN89" s="40"/>
      <c r="AO89" s="1780"/>
      <c r="AP89" s="40"/>
      <c r="AQ89" s="203"/>
      <c r="AR89" s="203"/>
      <c r="AS89" s="14"/>
      <c r="AT89" s="14"/>
      <c r="AU89" s="14"/>
      <c r="AV89" s="14"/>
      <c r="AW89" s="14"/>
      <c r="AX89" s="1851"/>
      <c r="AY89" s="40"/>
      <c r="AZ89" s="204"/>
      <c r="BA89" s="204"/>
      <c r="BB89" s="204"/>
      <c r="BC89" s="1885"/>
      <c r="BD89" s="204"/>
      <c r="BE89" s="14"/>
      <c r="BF89" s="1545"/>
      <c r="BG89" s="1786"/>
      <c r="BH89" s="1786"/>
      <c r="BI89" s="14"/>
      <c r="BJ89" s="14"/>
      <c r="BK89" s="40"/>
      <c r="BL89" s="14"/>
      <c r="BM89" s="14"/>
      <c r="BN89" s="1851"/>
      <c r="BO89" s="14"/>
      <c r="BP89" s="14"/>
      <c r="BQ89" s="1786"/>
      <c r="BR89" s="1786"/>
      <c r="BS89" s="14"/>
      <c r="BT89" s="14"/>
      <c r="BU89" s="14"/>
      <c r="BV89" s="14"/>
      <c r="BW89" s="1786"/>
      <c r="BX89" s="1780"/>
      <c r="BY89" s="1780"/>
      <c r="BZ89" s="1780"/>
      <c r="CA89" s="1780"/>
      <c r="CB89" s="1780"/>
      <c r="CC89" s="1780"/>
      <c r="CD89" s="1780"/>
      <c r="CE89" s="1780"/>
      <c r="CF89" s="1780"/>
      <c r="CG89" s="1780"/>
      <c r="CH89" s="1780"/>
      <c r="CI89" s="1780"/>
      <c r="CJ89" s="1780"/>
      <c r="CK89" s="1780"/>
      <c r="CL89" s="1780"/>
    </row>
    <row r="90" spans="1:90" ht="16" customHeight="1" x14ac:dyDescent="0.15">
      <c r="A90" s="13"/>
      <c r="B90" s="281"/>
      <c r="C90" s="14"/>
      <c r="D90" s="14"/>
      <c r="E90" s="281"/>
      <c r="F90" s="281"/>
      <c r="G90" s="281"/>
      <c r="H90" s="281"/>
      <c r="I90" s="281"/>
      <c r="J90" s="281"/>
      <c r="K90" s="281"/>
      <c r="L90" s="281"/>
      <c r="M90" s="14"/>
      <c r="N90" s="14"/>
      <c r="O90" s="14"/>
      <c r="P90" s="2185"/>
      <c r="Q90" s="2185"/>
      <c r="R90" s="14"/>
      <c r="S90" s="281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40"/>
      <c r="AH90" s="40"/>
      <c r="AI90" s="14"/>
      <c r="AJ90" s="14"/>
      <c r="AK90" s="14"/>
      <c r="AL90" s="14"/>
      <c r="AM90" s="1780"/>
      <c r="AN90" s="40"/>
      <c r="AO90" s="1780"/>
      <c r="AP90" s="40"/>
      <c r="AQ90" s="203"/>
      <c r="AR90" s="203"/>
      <c r="AS90" s="14"/>
      <c r="AT90" s="14"/>
      <c r="AU90" s="14"/>
      <c r="AV90" s="14"/>
      <c r="AW90" s="14"/>
      <c r="AX90" s="1851"/>
      <c r="AY90" s="40"/>
      <c r="AZ90" s="204"/>
      <c r="BA90" s="204"/>
      <c r="BB90" s="204"/>
      <c r="BC90" s="1885"/>
      <c r="BD90" s="204"/>
      <c r="BE90" s="14"/>
      <c r="BF90" s="1545"/>
      <c r="BG90" s="1786"/>
      <c r="BH90" s="1786"/>
      <c r="BI90" s="14"/>
      <c r="BJ90" s="14"/>
      <c r="BK90" s="40"/>
      <c r="BL90" s="14"/>
      <c r="BM90" s="14"/>
      <c r="BN90" s="1851"/>
      <c r="BO90" s="14"/>
      <c r="BP90" s="14"/>
      <c r="BQ90" s="1786"/>
      <c r="BR90" s="1786"/>
      <c r="BS90" s="14"/>
      <c r="BT90" s="14"/>
      <c r="BU90" s="14"/>
      <c r="BV90" s="14"/>
      <c r="BW90" s="1786"/>
      <c r="BX90" s="1780"/>
      <c r="BY90" s="1780"/>
      <c r="BZ90" s="1780"/>
      <c r="CA90" s="1780"/>
      <c r="CB90" s="1780"/>
      <c r="CC90" s="1780"/>
      <c r="CD90" s="1780"/>
      <c r="CE90" s="1780"/>
      <c r="CF90" s="1780"/>
      <c r="CG90" s="1780"/>
      <c r="CH90" s="1780"/>
      <c r="CI90" s="1780"/>
      <c r="CJ90" s="1780"/>
      <c r="CK90" s="1780"/>
      <c r="CL90" s="1780"/>
    </row>
    <row r="91" spans="1:90" ht="16" customHeight="1" x14ac:dyDescent="0.15">
      <c r="A91" s="13"/>
      <c r="B91" s="281"/>
      <c r="C91" s="14"/>
      <c r="D91" s="14"/>
      <c r="E91" s="281"/>
      <c r="F91" s="281"/>
      <c r="G91" s="281"/>
      <c r="H91" s="281"/>
      <c r="I91" s="281"/>
      <c r="J91" s="281"/>
      <c r="K91" s="281"/>
      <c r="L91" s="281"/>
      <c r="M91" s="14"/>
      <c r="N91" s="14"/>
      <c r="O91" s="14"/>
      <c r="P91" s="2185"/>
      <c r="Q91" s="2185"/>
      <c r="R91" s="14"/>
      <c r="S91" s="281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40"/>
      <c r="AH91" s="40"/>
      <c r="AI91" s="14"/>
      <c r="AJ91" s="14"/>
      <c r="AK91" s="14"/>
      <c r="AL91" s="14"/>
      <c r="AM91" s="1780"/>
      <c r="AN91" s="40"/>
      <c r="AO91" s="1780"/>
      <c r="AP91" s="40"/>
      <c r="AQ91" s="203"/>
      <c r="AR91" s="203"/>
      <c r="AS91" s="14"/>
      <c r="AT91" s="14"/>
      <c r="AU91" s="14"/>
      <c r="AV91" s="14"/>
      <c r="AW91" s="14"/>
      <c r="AX91" s="1851"/>
      <c r="AY91" s="40"/>
      <c r="AZ91" s="204"/>
      <c r="BA91" s="204"/>
      <c r="BB91" s="204"/>
      <c r="BC91" s="1885"/>
      <c r="BD91" s="204"/>
      <c r="BE91" s="14"/>
      <c r="BF91" s="1545"/>
      <c r="BG91" s="1786"/>
      <c r="BH91" s="1786"/>
      <c r="BI91" s="14"/>
      <c r="BJ91" s="14"/>
      <c r="BK91" s="40"/>
      <c r="BL91" s="14"/>
      <c r="BM91" s="14"/>
      <c r="BN91" s="1851"/>
      <c r="BO91" s="14"/>
      <c r="BP91" s="14"/>
      <c r="BQ91" s="1786"/>
      <c r="BR91" s="1786"/>
      <c r="BS91" s="14"/>
      <c r="BT91" s="14"/>
      <c r="BU91" s="14"/>
      <c r="BV91" s="14"/>
      <c r="BW91" s="1786"/>
      <c r="BX91" s="1780"/>
      <c r="BY91" s="1780"/>
      <c r="BZ91" s="1780"/>
      <c r="CA91" s="1780"/>
      <c r="CB91" s="1780"/>
      <c r="CC91" s="1780"/>
      <c r="CD91" s="1780"/>
      <c r="CE91" s="1780"/>
      <c r="CF91" s="1780"/>
      <c r="CG91" s="1780"/>
      <c r="CH91" s="1780"/>
      <c r="CI91" s="1780"/>
      <c r="CJ91" s="1780"/>
      <c r="CK91" s="1780"/>
      <c r="CL91" s="1780"/>
    </row>
    <row r="92" spans="1:90" ht="16" customHeight="1" x14ac:dyDescent="0.15">
      <c r="A92" s="13"/>
      <c r="B92" s="281"/>
      <c r="C92" s="14"/>
      <c r="D92" s="14"/>
      <c r="E92" s="281"/>
      <c r="F92" s="281"/>
      <c r="G92" s="281"/>
      <c r="H92" s="281"/>
      <c r="I92" s="281"/>
      <c r="J92" s="281"/>
      <c r="K92" s="281"/>
      <c r="L92" s="281"/>
      <c r="M92" s="14"/>
      <c r="N92" s="14"/>
      <c r="O92" s="14"/>
      <c r="P92" s="2185"/>
      <c r="Q92" s="2185"/>
      <c r="R92" s="14"/>
      <c r="S92" s="281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40"/>
      <c r="AH92" s="40"/>
      <c r="AI92" s="14"/>
      <c r="AJ92" s="14"/>
      <c r="AK92" s="14"/>
      <c r="AL92" s="14"/>
      <c r="AM92" s="1780"/>
      <c r="AN92" s="40"/>
      <c r="AO92" s="1780"/>
      <c r="AP92" s="40"/>
      <c r="AQ92" s="203"/>
      <c r="AR92" s="203"/>
      <c r="AS92" s="14"/>
      <c r="AT92" s="14"/>
      <c r="AU92" s="14"/>
      <c r="AV92" s="14"/>
      <c r="AW92" s="14"/>
      <c r="AX92" s="1851"/>
      <c r="AY92" s="40"/>
      <c r="AZ92" s="204"/>
      <c r="BA92" s="204"/>
      <c r="BB92" s="204"/>
      <c r="BC92" s="1885"/>
      <c r="BD92" s="204"/>
      <c r="BE92" s="14"/>
      <c r="BF92" s="1545"/>
      <c r="BG92" s="1786"/>
      <c r="BH92" s="1786"/>
      <c r="BI92" s="14"/>
      <c r="BJ92" s="14"/>
      <c r="BK92" s="40"/>
      <c r="BL92" s="14"/>
      <c r="BM92" s="14"/>
      <c r="BN92" s="1851"/>
      <c r="BO92" s="14"/>
      <c r="BP92" s="14"/>
      <c r="BQ92" s="1786"/>
      <c r="BR92" s="1786"/>
      <c r="BS92" s="14"/>
      <c r="BT92" s="14"/>
      <c r="BU92" s="14"/>
      <c r="BV92" s="14"/>
      <c r="BW92" s="1786"/>
      <c r="BX92" s="1780"/>
      <c r="BY92" s="1780"/>
      <c r="BZ92" s="1780"/>
      <c r="CA92" s="1780"/>
      <c r="CB92" s="1780"/>
      <c r="CC92" s="1780"/>
      <c r="CD92" s="1780"/>
      <c r="CE92" s="1780"/>
      <c r="CF92" s="1780"/>
      <c r="CG92" s="1780"/>
      <c r="CH92" s="1780"/>
      <c r="CI92" s="1780"/>
      <c r="CJ92" s="1780"/>
      <c r="CK92" s="1780"/>
      <c r="CL92" s="1780"/>
    </row>
    <row r="93" spans="1:90" ht="16" customHeight="1" x14ac:dyDescent="0.15">
      <c r="A93" s="13"/>
      <c r="B93" s="281"/>
      <c r="C93" s="14"/>
      <c r="D93" s="14"/>
      <c r="E93" s="281"/>
      <c r="F93" s="281"/>
      <c r="G93" s="281"/>
      <c r="H93" s="281"/>
      <c r="I93" s="281"/>
      <c r="J93" s="281"/>
      <c r="K93" s="281"/>
      <c r="L93" s="281"/>
      <c r="M93" s="14"/>
      <c r="N93" s="14"/>
      <c r="O93" s="14"/>
      <c r="P93" s="2185"/>
      <c r="Q93" s="2185"/>
      <c r="R93" s="14"/>
      <c r="S93" s="281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40"/>
      <c r="AH93" s="40"/>
      <c r="AI93" s="14"/>
      <c r="AJ93" s="14"/>
      <c r="AK93" s="14"/>
      <c r="AL93" s="14"/>
      <c r="AM93" s="1780"/>
      <c r="AN93" s="40"/>
      <c r="AO93" s="1780"/>
      <c r="AP93" s="40"/>
      <c r="AQ93" s="203"/>
      <c r="AR93" s="203"/>
      <c r="AS93" s="14"/>
      <c r="AT93" s="14"/>
      <c r="AU93" s="14"/>
      <c r="AV93" s="14"/>
      <c r="AW93" s="14"/>
      <c r="AX93" s="1851"/>
      <c r="AY93" s="40"/>
      <c r="AZ93" s="204"/>
      <c r="BA93" s="204"/>
      <c r="BB93" s="204"/>
      <c r="BC93" s="1885"/>
      <c r="BD93" s="204"/>
      <c r="BE93" s="14"/>
      <c r="BF93" s="1545"/>
      <c r="BG93" s="1786"/>
      <c r="BH93" s="1786"/>
      <c r="BI93" s="14"/>
      <c r="BJ93" s="14"/>
      <c r="BK93" s="40"/>
      <c r="BL93" s="14"/>
      <c r="BM93" s="14"/>
      <c r="BN93" s="1851"/>
      <c r="BO93" s="14"/>
      <c r="BP93" s="14"/>
      <c r="BQ93" s="1786"/>
      <c r="BR93" s="1786"/>
      <c r="BS93" s="14"/>
      <c r="BT93" s="14"/>
      <c r="BU93" s="14"/>
      <c r="BV93" s="14"/>
      <c r="BW93" s="1786"/>
      <c r="BX93" s="1780"/>
      <c r="BY93" s="1780"/>
      <c r="BZ93" s="1780"/>
      <c r="CA93" s="1780"/>
      <c r="CB93" s="1780"/>
      <c r="CC93" s="1780"/>
      <c r="CD93" s="1780"/>
      <c r="CE93" s="1780"/>
      <c r="CF93" s="1780"/>
      <c r="CG93" s="1780"/>
      <c r="CH93" s="1780"/>
      <c r="CI93" s="1780"/>
      <c r="CJ93" s="1780"/>
      <c r="CK93" s="1780"/>
      <c r="CL93" s="1780"/>
    </row>
    <row r="94" spans="1:90" ht="16" customHeight="1" x14ac:dyDescent="0.15">
      <c r="A94" s="13"/>
      <c r="B94" s="281"/>
      <c r="C94" s="14"/>
      <c r="D94" s="14"/>
      <c r="E94" s="281"/>
      <c r="F94" s="281"/>
      <c r="G94" s="281"/>
      <c r="H94" s="281"/>
      <c r="I94" s="281"/>
      <c r="J94" s="281"/>
      <c r="K94" s="281"/>
      <c r="L94" s="281"/>
      <c r="M94" s="14"/>
      <c r="N94" s="14"/>
      <c r="O94" s="14"/>
      <c r="P94" s="2185"/>
      <c r="Q94" s="2185"/>
      <c r="R94" s="14"/>
      <c r="S94" s="281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40"/>
      <c r="AH94" s="40"/>
      <c r="AI94" s="14"/>
      <c r="AJ94" s="14"/>
      <c r="AK94" s="14"/>
      <c r="AL94" s="14"/>
      <c r="AM94" s="1780"/>
      <c r="AN94" s="40"/>
      <c r="AO94" s="1780"/>
      <c r="AP94" s="40"/>
      <c r="AQ94" s="203"/>
      <c r="AR94" s="203"/>
      <c r="AS94" s="14"/>
      <c r="AT94" s="14"/>
      <c r="AU94" s="14"/>
      <c r="AV94" s="14"/>
      <c r="AW94" s="14"/>
      <c r="AX94" s="1851"/>
      <c r="AY94" s="40"/>
      <c r="AZ94" s="204"/>
      <c r="BA94" s="204"/>
      <c r="BB94" s="204"/>
      <c r="BC94" s="1885"/>
      <c r="BD94" s="204"/>
      <c r="BE94" s="14"/>
      <c r="BF94" s="1545"/>
      <c r="BG94" s="1786"/>
      <c r="BH94" s="1786"/>
      <c r="BI94" s="14"/>
      <c r="BJ94" s="14"/>
      <c r="BK94" s="40"/>
      <c r="BL94" s="14"/>
      <c r="BM94" s="14"/>
      <c r="BN94" s="1851"/>
      <c r="BO94" s="14"/>
      <c r="BP94" s="14"/>
      <c r="BQ94" s="1786"/>
      <c r="BR94" s="1786"/>
      <c r="BS94" s="14"/>
      <c r="BT94" s="14"/>
      <c r="BU94" s="14"/>
      <c r="BV94" s="14"/>
      <c r="BW94" s="1786"/>
      <c r="BX94" s="1780"/>
      <c r="BY94" s="1780"/>
      <c r="BZ94" s="1780"/>
      <c r="CA94" s="1780"/>
      <c r="CB94" s="1780"/>
      <c r="CC94" s="1780"/>
      <c r="CD94" s="1780"/>
      <c r="CE94" s="1780"/>
      <c r="CF94" s="1780"/>
      <c r="CG94" s="1780"/>
      <c r="CH94" s="1780"/>
      <c r="CI94" s="1780"/>
      <c r="CJ94" s="1780"/>
      <c r="CK94" s="1780"/>
      <c r="CL94" s="1780"/>
    </row>
    <row r="95" spans="1:90" ht="16" customHeight="1" x14ac:dyDescent="0.15">
      <c r="A95" s="13"/>
      <c r="B95" s="281"/>
      <c r="C95" s="14"/>
      <c r="D95" s="14"/>
      <c r="E95" s="281"/>
      <c r="F95" s="281"/>
      <c r="G95" s="281"/>
      <c r="H95" s="281"/>
      <c r="I95" s="281"/>
      <c r="J95" s="281"/>
      <c r="K95" s="281"/>
      <c r="L95" s="281"/>
      <c r="M95" s="14"/>
      <c r="N95" s="14"/>
      <c r="O95" s="14"/>
      <c r="P95" s="2185"/>
      <c r="Q95" s="2185"/>
      <c r="R95" s="14"/>
      <c r="S95" s="281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40"/>
      <c r="AH95" s="40"/>
      <c r="AI95" s="14"/>
      <c r="AJ95" s="14"/>
      <c r="AK95" s="14"/>
      <c r="AL95" s="14"/>
      <c r="AM95" s="1780"/>
      <c r="AN95" s="40"/>
      <c r="AO95" s="1780"/>
      <c r="AP95" s="40"/>
      <c r="AQ95" s="203"/>
      <c r="AR95" s="203"/>
      <c r="AS95" s="14"/>
      <c r="AT95" s="14"/>
      <c r="AU95" s="14"/>
      <c r="AV95" s="14"/>
      <c r="AW95" s="14"/>
      <c r="AX95" s="1851"/>
      <c r="AY95" s="40"/>
      <c r="AZ95" s="204"/>
      <c r="BA95" s="204"/>
      <c r="BB95" s="204"/>
      <c r="BC95" s="1885"/>
      <c r="BD95" s="204"/>
      <c r="BE95" s="14"/>
      <c r="BF95" s="1545"/>
      <c r="BG95" s="1786"/>
      <c r="BH95" s="1786"/>
      <c r="BI95" s="14"/>
      <c r="BJ95" s="14"/>
      <c r="BK95" s="40"/>
      <c r="BL95" s="14"/>
      <c r="BM95" s="14"/>
      <c r="BN95" s="1851"/>
      <c r="BO95" s="14"/>
      <c r="BP95" s="14"/>
      <c r="BQ95" s="1786"/>
      <c r="BR95" s="1786"/>
      <c r="BS95" s="14"/>
      <c r="BT95" s="14"/>
      <c r="BU95" s="14"/>
      <c r="BV95" s="14"/>
      <c r="BW95" s="1786"/>
      <c r="BX95" s="1780"/>
      <c r="BY95" s="1780"/>
      <c r="BZ95" s="1780"/>
      <c r="CA95" s="1780"/>
      <c r="CB95" s="1780"/>
      <c r="CC95" s="1780"/>
      <c r="CD95" s="1780"/>
      <c r="CE95" s="1780"/>
      <c r="CF95" s="1780"/>
      <c r="CG95" s="1780"/>
      <c r="CH95" s="1780"/>
      <c r="CI95" s="1780"/>
      <c r="CJ95" s="1780"/>
      <c r="CK95" s="1780"/>
      <c r="CL95" s="1780"/>
    </row>
    <row r="96" spans="1:90" ht="16" customHeight="1" x14ac:dyDescent="0.15">
      <c r="A96" s="13"/>
      <c r="B96" s="281"/>
      <c r="C96" s="14"/>
      <c r="D96" s="14"/>
      <c r="E96" s="281"/>
      <c r="F96" s="281"/>
      <c r="G96" s="281"/>
      <c r="H96" s="281"/>
      <c r="I96" s="281"/>
      <c r="J96" s="281"/>
      <c r="K96" s="281"/>
      <c r="L96" s="281"/>
      <c r="M96" s="14"/>
      <c r="N96" s="14"/>
      <c r="O96" s="14"/>
      <c r="P96" s="2185"/>
      <c r="Q96" s="2185"/>
      <c r="R96" s="14"/>
      <c r="S96" s="281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40"/>
      <c r="AH96" s="40"/>
      <c r="AI96" s="14"/>
      <c r="AJ96" s="14"/>
      <c r="AK96" s="14"/>
      <c r="AL96" s="14"/>
      <c r="AM96" s="1780"/>
      <c r="AN96" s="40"/>
      <c r="AO96" s="1780"/>
      <c r="AP96" s="40"/>
      <c r="AQ96" s="203"/>
      <c r="AR96" s="203"/>
      <c r="AS96" s="14"/>
      <c r="AT96" s="14"/>
      <c r="AU96" s="14"/>
      <c r="AV96" s="14"/>
      <c r="AW96" s="14"/>
      <c r="AX96" s="1851"/>
      <c r="AY96" s="40"/>
      <c r="AZ96" s="204"/>
      <c r="BA96" s="204"/>
      <c r="BB96" s="204"/>
      <c r="BC96" s="1885"/>
      <c r="BD96" s="204"/>
      <c r="BE96" s="14"/>
      <c r="BF96" s="1545"/>
      <c r="BG96" s="1786"/>
      <c r="BH96" s="1786"/>
      <c r="BI96" s="14"/>
      <c r="BJ96" s="14"/>
      <c r="BK96" s="40"/>
      <c r="BL96" s="14"/>
      <c r="BM96" s="14"/>
      <c r="BN96" s="1851"/>
      <c r="BO96" s="14"/>
      <c r="BP96" s="14"/>
      <c r="BQ96" s="1786"/>
      <c r="BR96" s="1786"/>
      <c r="BS96" s="14"/>
      <c r="BT96" s="14"/>
      <c r="BU96" s="14"/>
      <c r="BV96" s="14"/>
      <c r="BW96" s="1786"/>
      <c r="BX96" s="1780"/>
      <c r="BY96" s="1780"/>
      <c r="BZ96" s="1780"/>
      <c r="CA96" s="1780"/>
      <c r="CB96" s="1780"/>
      <c r="CC96" s="1780"/>
      <c r="CD96" s="1780"/>
      <c r="CE96" s="1780"/>
      <c r="CF96" s="1780"/>
      <c r="CG96" s="1780"/>
      <c r="CH96" s="1780"/>
      <c r="CI96" s="1780"/>
      <c r="CJ96" s="1780"/>
      <c r="CK96" s="1780"/>
      <c r="CL96" s="1780"/>
    </row>
    <row r="97" spans="1:90" ht="16" customHeight="1" x14ac:dyDescent="0.15">
      <c r="A97" s="13"/>
      <c r="B97" s="281"/>
      <c r="C97" s="14"/>
      <c r="D97" s="14"/>
      <c r="E97" s="281"/>
      <c r="F97" s="281"/>
      <c r="G97" s="281"/>
      <c r="H97" s="281"/>
      <c r="I97" s="281"/>
      <c r="J97" s="281"/>
      <c r="K97" s="281"/>
      <c r="L97" s="281"/>
      <c r="M97" s="14"/>
      <c r="N97" s="14"/>
      <c r="O97" s="14"/>
      <c r="P97" s="2185"/>
      <c r="Q97" s="2185"/>
      <c r="R97" s="14"/>
      <c r="S97" s="281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40"/>
      <c r="AH97" s="40"/>
      <c r="AI97" s="14"/>
      <c r="AJ97" s="14"/>
      <c r="AK97" s="14"/>
      <c r="AL97" s="14"/>
      <c r="AM97" s="1780"/>
      <c r="AN97" s="40"/>
      <c r="AO97" s="1780"/>
      <c r="AP97" s="40"/>
      <c r="AQ97" s="203"/>
      <c r="AR97" s="203"/>
      <c r="AS97" s="14"/>
      <c r="AT97" s="14"/>
      <c r="AU97" s="14"/>
      <c r="AV97" s="14"/>
      <c r="AW97" s="14"/>
      <c r="AX97" s="1851"/>
      <c r="AY97" s="40"/>
      <c r="AZ97" s="204"/>
      <c r="BA97" s="204"/>
      <c r="BB97" s="204"/>
      <c r="BC97" s="1885"/>
      <c r="BD97" s="204"/>
      <c r="BE97" s="14"/>
      <c r="BF97" s="1545"/>
      <c r="BG97" s="1786"/>
      <c r="BH97" s="1786"/>
      <c r="BI97" s="14"/>
      <c r="BJ97" s="14"/>
      <c r="BK97" s="40"/>
      <c r="BL97" s="14"/>
      <c r="BM97" s="14"/>
      <c r="BN97" s="1851"/>
      <c r="BO97" s="14"/>
      <c r="BP97" s="14"/>
      <c r="BQ97" s="1786"/>
      <c r="BR97" s="1786"/>
      <c r="BS97" s="14"/>
      <c r="BT97" s="14"/>
      <c r="BU97" s="14"/>
      <c r="BV97" s="14"/>
      <c r="BW97" s="1786"/>
      <c r="BX97" s="1780"/>
      <c r="BY97" s="1780"/>
      <c r="BZ97" s="1780"/>
      <c r="CA97" s="1780"/>
      <c r="CB97" s="1780"/>
      <c r="CC97" s="1780"/>
      <c r="CD97" s="1780"/>
      <c r="CE97" s="1780"/>
      <c r="CF97" s="1780"/>
      <c r="CG97" s="1780"/>
      <c r="CH97" s="1780"/>
      <c r="CI97" s="1780"/>
      <c r="CJ97" s="1780"/>
      <c r="CK97" s="1780"/>
      <c r="CL97" s="1780"/>
    </row>
    <row r="98" spans="1:90" ht="16" customHeight="1" x14ac:dyDescent="0.15">
      <c r="A98" s="13"/>
      <c r="B98" s="281"/>
      <c r="C98" s="14"/>
      <c r="D98" s="14"/>
      <c r="E98" s="281"/>
      <c r="F98" s="281"/>
      <c r="G98" s="281"/>
      <c r="H98" s="281"/>
      <c r="I98" s="281"/>
      <c r="J98" s="281"/>
      <c r="K98" s="281"/>
      <c r="L98" s="281"/>
      <c r="M98" s="14"/>
      <c r="N98" s="14"/>
      <c r="O98" s="14"/>
      <c r="P98" s="2185"/>
      <c r="Q98" s="2185"/>
      <c r="R98" s="14"/>
      <c r="S98" s="281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40"/>
      <c r="AH98" s="40"/>
      <c r="AI98" s="14"/>
      <c r="AJ98" s="14"/>
      <c r="AK98" s="14"/>
      <c r="AL98" s="14"/>
      <c r="AM98" s="1780"/>
      <c r="AN98" s="40"/>
      <c r="AO98" s="1780"/>
      <c r="AP98" s="40"/>
      <c r="AQ98" s="203"/>
      <c r="AR98" s="203"/>
      <c r="AS98" s="14"/>
      <c r="AT98" s="14"/>
      <c r="AU98" s="14"/>
      <c r="AV98" s="14"/>
      <c r="AW98" s="14"/>
      <c r="AX98" s="1851"/>
      <c r="AY98" s="40"/>
      <c r="AZ98" s="204"/>
      <c r="BA98" s="204"/>
      <c r="BB98" s="204"/>
      <c r="BC98" s="1885"/>
      <c r="BD98" s="204"/>
      <c r="BE98" s="14"/>
      <c r="BF98" s="1545"/>
      <c r="BG98" s="1786"/>
      <c r="BH98" s="1786"/>
      <c r="BI98" s="14"/>
      <c r="BJ98" s="14"/>
      <c r="BK98" s="40"/>
      <c r="BL98" s="14"/>
      <c r="BM98" s="14"/>
      <c r="BN98" s="1851"/>
      <c r="BO98" s="14"/>
      <c r="BP98" s="14"/>
      <c r="BQ98" s="1786"/>
      <c r="BR98" s="1786"/>
      <c r="BS98" s="14"/>
      <c r="BT98" s="14"/>
      <c r="BU98" s="14"/>
      <c r="BV98" s="14"/>
      <c r="BW98" s="1786"/>
      <c r="BX98" s="1780"/>
      <c r="BY98" s="1780"/>
      <c r="BZ98" s="1780"/>
      <c r="CA98" s="1780"/>
      <c r="CB98" s="1780"/>
      <c r="CC98" s="1780"/>
      <c r="CD98" s="1780"/>
      <c r="CE98" s="1780"/>
      <c r="CF98" s="1780"/>
      <c r="CG98" s="1780"/>
      <c r="CH98" s="1780"/>
      <c r="CI98" s="1780"/>
      <c r="CJ98" s="1780"/>
      <c r="CK98" s="1780"/>
      <c r="CL98" s="1780"/>
    </row>
    <row r="99" spans="1:90" ht="16" customHeight="1" x14ac:dyDescent="0.15">
      <c r="A99" s="13"/>
      <c r="B99" s="281"/>
      <c r="C99" s="14"/>
      <c r="D99" s="14"/>
      <c r="E99" s="281"/>
      <c r="F99" s="281"/>
      <c r="G99" s="281"/>
      <c r="H99" s="281"/>
      <c r="I99" s="281"/>
      <c r="J99" s="281"/>
      <c r="K99" s="281"/>
      <c r="L99" s="281"/>
      <c r="M99" s="14"/>
      <c r="N99" s="14"/>
      <c r="O99" s="14"/>
      <c r="P99" s="2185"/>
      <c r="Q99" s="2185"/>
      <c r="R99" s="14"/>
      <c r="S99" s="281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40"/>
      <c r="AH99" s="40"/>
      <c r="AI99" s="14"/>
      <c r="AJ99" s="14"/>
      <c r="AK99" s="14"/>
      <c r="AL99" s="14"/>
      <c r="AM99" s="1780"/>
      <c r="AN99" s="40"/>
      <c r="AO99" s="1780"/>
      <c r="AP99" s="40"/>
      <c r="AQ99" s="203"/>
      <c r="AR99" s="203"/>
      <c r="AS99" s="14"/>
      <c r="AT99" s="14"/>
      <c r="AU99" s="14"/>
      <c r="AV99" s="14"/>
      <c r="AW99" s="14"/>
      <c r="AX99" s="1851"/>
      <c r="AY99" s="40"/>
      <c r="AZ99" s="204"/>
      <c r="BA99" s="204"/>
      <c r="BB99" s="204"/>
      <c r="BC99" s="1885"/>
      <c r="BD99" s="204"/>
      <c r="BE99" s="14"/>
      <c r="BF99" s="1545"/>
      <c r="BG99" s="1786"/>
      <c r="BH99" s="1786"/>
      <c r="BI99" s="14"/>
      <c r="BJ99" s="14"/>
      <c r="BK99" s="40"/>
      <c r="BL99" s="14"/>
      <c r="BM99" s="14"/>
      <c r="BN99" s="1851"/>
      <c r="BO99" s="14"/>
      <c r="BP99" s="14"/>
      <c r="BQ99" s="1786"/>
      <c r="BR99" s="1786"/>
      <c r="BS99" s="14"/>
      <c r="BT99" s="14"/>
      <c r="BU99" s="14"/>
      <c r="BV99" s="14"/>
      <c r="BW99" s="1786"/>
      <c r="BX99" s="1780"/>
      <c r="BY99" s="1780"/>
      <c r="BZ99" s="1780"/>
      <c r="CA99" s="1780"/>
      <c r="CB99" s="1780"/>
      <c r="CC99" s="1780"/>
      <c r="CD99" s="1780"/>
      <c r="CE99" s="1780"/>
      <c r="CF99" s="1780"/>
      <c r="CG99" s="1780"/>
      <c r="CH99" s="1780"/>
      <c r="CI99" s="1780"/>
      <c r="CJ99" s="1780"/>
      <c r="CK99" s="1780"/>
      <c r="CL99" s="1780"/>
    </row>
    <row r="100" spans="1:90" ht="16" customHeight="1" x14ac:dyDescent="0.15">
      <c r="A100" s="13"/>
      <c r="B100" s="281"/>
      <c r="C100" s="14"/>
      <c r="D100" s="14"/>
      <c r="E100" s="281"/>
      <c r="F100" s="281"/>
      <c r="G100" s="281"/>
      <c r="H100" s="281"/>
      <c r="I100" s="281"/>
      <c r="J100" s="281"/>
      <c r="K100" s="281"/>
      <c r="L100" s="281"/>
      <c r="M100" s="14"/>
      <c r="N100" s="14"/>
      <c r="O100" s="14"/>
      <c r="P100" s="2185"/>
      <c r="Q100" s="2185"/>
      <c r="R100" s="14"/>
      <c r="S100" s="281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40"/>
      <c r="AH100" s="40"/>
      <c r="AI100" s="14"/>
      <c r="AJ100" s="14"/>
      <c r="AK100" s="14"/>
      <c r="AL100" s="14"/>
      <c r="AM100" s="1780"/>
      <c r="AN100" s="40"/>
      <c r="AO100" s="1780"/>
      <c r="AP100" s="40"/>
      <c r="AQ100" s="203"/>
      <c r="AR100" s="203"/>
      <c r="AS100" s="14"/>
      <c r="AT100" s="14"/>
      <c r="AU100" s="14"/>
      <c r="AV100" s="14"/>
      <c r="AW100" s="14"/>
      <c r="AX100" s="1851"/>
      <c r="AY100" s="40"/>
      <c r="AZ100" s="204"/>
      <c r="BA100" s="204"/>
      <c r="BB100" s="204"/>
      <c r="BC100" s="1885"/>
      <c r="BD100" s="204"/>
      <c r="BE100" s="14"/>
      <c r="BF100" s="1545"/>
      <c r="BG100" s="1786"/>
      <c r="BH100" s="1786"/>
      <c r="BI100" s="14"/>
      <c r="BJ100" s="14"/>
      <c r="BK100" s="40"/>
      <c r="BL100" s="14"/>
      <c r="BM100" s="14"/>
      <c r="BN100" s="1851"/>
      <c r="BO100" s="14"/>
      <c r="BP100" s="14"/>
      <c r="BQ100" s="1786"/>
      <c r="BR100" s="1786"/>
      <c r="BS100" s="14"/>
      <c r="BT100" s="14"/>
      <c r="BU100" s="14"/>
      <c r="BV100" s="14"/>
      <c r="BW100" s="1786"/>
      <c r="BX100" s="1780"/>
      <c r="BY100" s="1780"/>
      <c r="BZ100" s="1780"/>
      <c r="CA100" s="1780"/>
      <c r="CB100" s="1780"/>
      <c r="CC100" s="1780"/>
      <c r="CD100" s="1780"/>
      <c r="CE100" s="1780"/>
      <c r="CF100" s="1780"/>
      <c r="CG100" s="1780"/>
      <c r="CH100" s="1780"/>
      <c r="CI100" s="1780"/>
      <c r="CJ100" s="1780"/>
      <c r="CK100" s="1780"/>
      <c r="CL100" s="1780"/>
    </row>
    <row r="101" spans="1:90" ht="16" customHeight="1" x14ac:dyDescent="0.15">
      <c r="A101" s="13"/>
      <c r="B101" s="281"/>
      <c r="C101" s="14"/>
      <c r="D101" s="14"/>
      <c r="E101" s="281"/>
      <c r="F101" s="281"/>
      <c r="G101" s="281"/>
      <c r="H101" s="281"/>
      <c r="I101" s="281"/>
      <c r="J101" s="281"/>
      <c r="K101" s="281"/>
      <c r="L101" s="281"/>
      <c r="M101" s="14"/>
      <c r="N101" s="14"/>
      <c r="O101" s="14"/>
      <c r="P101" s="2185"/>
      <c r="Q101" s="2185"/>
      <c r="R101" s="14"/>
      <c r="S101" s="281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40"/>
      <c r="AH101" s="40"/>
      <c r="AI101" s="14"/>
      <c r="AJ101" s="14"/>
      <c r="AK101" s="14"/>
      <c r="AL101" s="14"/>
      <c r="AM101" s="1780"/>
      <c r="AN101" s="40"/>
      <c r="AO101" s="1780"/>
      <c r="AP101" s="40"/>
      <c r="AQ101" s="203"/>
      <c r="AR101" s="203"/>
      <c r="AS101" s="14"/>
      <c r="AT101" s="14"/>
      <c r="AU101" s="14"/>
      <c r="AV101" s="14"/>
      <c r="AW101" s="14"/>
      <c r="AX101" s="1851"/>
      <c r="AY101" s="40"/>
      <c r="AZ101" s="204"/>
      <c r="BA101" s="204"/>
      <c r="BB101" s="204"/>
      <c r="BC101" s="1885"/>
      <c r="BD101" s="204"/>
      <c r="BE101" s="14"/>
      <c r="BF101" s="1545"/>
      <c r="BG101" s="1786"/>
      <c r="BH101" s="1786"/>
      <c r="BI101" s="14"/>
      <c r="BJ101" s="14"/>
      <c r="BK101" s="40"/>
      <c r="BL101" s="14"/>
      <c r="BM101" s="14"/>
      <c r="BN101" s="1851"/>
      <c r="BO101" s="14"/>
      <c r="BP101" s="14"/>
      <c r="BQ101" s="1786"/>
      <c r="BR101" s="1786"/>
      <c r="BS101" s="14"/>
      <c r="BT101" s="14"/>
      <c r="BU101" s="14"/>
      <c r="BV101" s="14"/>
      <c r="BW101" s="1786"/>
      <c r="BX101" s="1780"/>
      <c r="BY101" s="1780"/>
      <c r="BZ101" s="1780"/>
      <c r="CA101" s="1780"/>
      <c r="CB101" s="1780"/>
      <c r="CC101" s="1780"/>
      <c r="CD101" s="1780"/>
      <c r="CE101" s="1780"/>
      <c r="CF101" s="1780"/>
      <c r="CG101" s="1780"/>
      <c r="CH101" s="1780"/>
      <c r="CI101" s="1780"/>
      <c r="CJ101" s="1780"/>
      <c r="CK101" s="1780"/>
      <c r="CL101" s="1780"/>
    </row>
    <row r="102" spans="1:90" ht="16" customHeight="1" x14ac:dyDescent="0.15">
      <c r="A102" s="13"/>
      <c r="B102" s="281"/>
      <c r="C102" s="14"/>
      <c r="D102" s="14"/>
      <c r="E102" s="281"/>
      <c r="F102" s="281"/>
      <c r="G102" s="281"/>
      <c r="H102" s="281"/>
      <c r="I102" s="281"/>
      <c r="J102" s="281"/>
      <c r="K102" s="281"/>
      <c r="L102" s="281"/>
      <c r="M102" s="14"/>
      <c r="N102" s="14"/>
      <c r="O102" s="14"/>
      <c r="P102" s="2185"/>
      <c r="Q102" s="2185"/>
      <c r="R102" s="14"/>
      <c r="S102" s="281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40"/>
      <c r="AH102" s="40"/>
      <c r="AI102" s="14"/>
      <c r="AJ102" s="14"/>
      <c r="AK102" s="14"/>
      <c r="AL102" s="14"/>
      <c r="AM102" s="1780"/>
      <c r="AN102" s="40"/>
      <c r="AO102" s="1780"/>
      <c r="AP102" s="40"/>
      <c r="AQ102" s="203"/>
      <c r="AR102" s="203"/>
      <c r="AS102" s="14"/>
      <c r="AT102" s="14"/>
      <c r="AU102" s="14"/>
      <c r="AV102" s="14"/>
      <c r="AW102" s="14"/>
      <c r="AX102" s="1851"/>
      <c r="AY102" s="40"/>
      <c r="AZ102" s="204"/>
      <c r="BA102" s="204"/>
      <c r="BB102" s="204"/>
      <c r="BC102" s="1885"/>
      <c r="BD102" s="204"/>
      <c r="BE102" s="14"/>
      <c r="BF102" s="1545"/>
      <c r="BG102" s="1786"/>
      <c r="BH102" s="1786"/>
      <c r="BI102" s="14"/>
      <c r="BJ102" s="14"/>
      <c r="BK102" s="40"/>
      <c r="BL102" s="14"/>
      <c r="BM102" s="14"/>
      <c r="BN102" s="1851"/>
      <c r="BO102" s="14"/>
      <c r="BP102" s="14"/>
      <c r="BQ102" s="1786"/>
      <c r="BR102" s="1786"/>
      <c r="BS102" s="14"/>
      <c r="BT102" s="14"/>
      <c r="BU102" s="14"/>
      <c r="BV102" s="14"/>
      <c r="BW102" s="1786"/>
      <c r="BX102" s="1780"/>
      <c r="BY102" s="1780"/>
      <c r="BZ102" s="1780"/>
      <c r="CA102" s="1780"/>
      <c r="CB102" s="1780"/>
      <c r="CC102" s="1780"/>
      <c r="CD102" s="1780"/>
      <c r="CE102" s="1780"/>
      <c r="CF102" s="1780"/>
      <c r="CG102" s="1780"/>
      <c r="CH102" s="1780"/>
      <c r="CI102" s="1780"/>
      <c r="CJ102" s="1780"/>
      <c r="CK102" s="1780"/>
      <c r="CL102" s="1780"/>
    </row>
    <row r="103" spans="1:90" ht="16" customHeight="1" x14ac:dyDescent="0.15">
      <c r="A103" s="13"/>
      <c r="B103" s="281"/>
      <c r="C103" s="14"/>
      <c r="D103" s="14"/>
      <c r="E103" s="281"/>
      <c r="F103" s="281"/>
      <c r="G103" s="281"/>
      <c r="H103" s="281"/>
      <c r="I103" s="281"/>
      <c r="J103" s="281"/>
      <c r="K103" s="281"/>
      <c r="L103" s="281"/>
      <c r="M103" s="14"/>
      <c r="N103" s="14"/>
      <c r="O103" s="14"/>
      <c r="P103" s="2185"/>
      <c r="Q103" s="2185"/>
      <c r="R103" s="14"/>
      <c r="S103" s="281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40"/>
      <c r="AH103" s="40"/>
      <c r="AI103" s="14"/>
      <c r="AJ103" s="14"/>
      <c r="AK103" s="14"/>
      <c r="AL103" s="14"/>
      <c r="AM103" s="1780"/>
      <c r="AN103" s="40"/>
      <c r="AO103" s="1780"/>
      <c r="AP103" s="40"/>
      <c r="AQ103" s="203"/>
      <c r="AR103" s="203"/>
      <c r="AS103" s="14"/>
      <c r="AT103" s="14"/>
      <c r="AU103" s="14"/>
      <c r="AV103" s="14"/>
      <c r="AW103" s="14"/>
      <c r="AX103" s="1851"/>
      <c r="AY103" s="40"/>
      <c r="AZ103" s="204"/>
      <c r="BA103" s="204"/>
      <c r="BB103" s="204"/>
      <c r="BC103" s="1885"/>
      <c r="BD103" s="204"/>
      <c r="BE103" s="14"/>
      <c r="BF103" s="1545"/>
      <c r="BG103" s="1786"/>
      <c r="BH103" s="1786"/>
      <c r="BI103" s="14"/>
      <c r="BJ103" s="14"/>
      <c r="BK103" s="40"/>
      <c r="BL103" s="14"/>
      <c r="BM103" s="14"/>
      <c r="BN103" s="1851"/>
      <c r="BO103" s="14"/>
      <c r="BP103" s="14"/>
      <c r="BQ103" s="1786"/>
      <c r="BR103" s="1786"/>
      <c r="BS103" s="14"/>
      <c r="BT103" s="14"/>
      <c r="BU103" s="14"/>
      <c r="BV103" s="14"/>
      <c r="BW103" s="1786"/>
      <c r="BX103" s="1780"/>
      <c r="BY103" s="1780"/>
      <c r="BZ103" s="1780"/>
      <c r="CA103" s="1780"/>
      <c r="CB103" s="1780"/>
      <c r="CC103" s="1780"/>
      <c r="CD103" s="1780"/>
      <c r="CE103" s="1780"/>
      <c r="CF103" s="1780"/>
      <c r="CG103" s="1780"/>
      <c r="CH103" s="1780"/>
      <c r="CI103" s="1780"/>
      <c r="CJ103" s="1780"/>
      <c r="CK103" s="1780"/>
      <c r="CL103" s="1780"/>
    </row>
    <row r="104" spans="1:90" ht="16" customHeight="1" x14ac:dyDescent="0.15">
      <c r="A104" s="13"/>
      <c r="B104" s="281"/>
      <c r="C104" s="14"/>
      <c r="D104" s="14"/>
      <c r="E104" s="281"/>
      <c r="F104" s="281"/>
      <c r="G104" s="281"/>
      <c r="H104" s="281"/>
      <c r="I104" s="281"/>
      <c r="J104" s="281"/>
      <c r="K104" s="281"/>
      <c r="L104" s="281"/>
      <c r="M104" s="14"/>
      <c r="N104" s="14"/>
      <c r="O104" s="14"/>
      <c r="P104" s="2185"/>
      <c r="Q104" s="2185"/>
      <c r="R104" s="14"/>
      <c r="S104" s="281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40"/>
      <c r="AH104" s="40"/>
      <c r="AI104" s="14"/>
      <c r="AJ104" s="14"/>
      <c r="AK104" s="14"/>
      <c r="AL104" s="14"/>
      <c r="AM104" s="1780"/>
      <c r="AN104" s="40"/>
      <c r="AO104" s="1780"/>
      <c r="AP104" s="40"/>
      <c r="AQ104" s="203"/>
      <c r="AR104" s="203"/>
      <c r="AS104" s="14"/>
      <c r="AT104" s="14"/>
      <c r="AU104" s="14"/>
      <c r="AV104" s="14"/>
      <c r="AW104" s="14"/>
      <c r="AX104" s="1851"/>
      <c r="AY104" s="40"/>
      <c r="AZ104" s="204"/>
      <c r="BA104" s="204"/>
      <c r="BB104" s="204"/>
      <c r="BC104" s="1885"/>
      <c r="BD104" s="204"/>
      <c r="BE104" s="14"/>
      <c r="BF104" s="1545"/>
      <c r="BG104" s="1786"/>
      <c r="BH104" s="1786"/>
      <c r="BI104" s="14"/>
      <c r="BJ104" s="14"/>
      <c r="BK104" s="40"/>
      <c r="BL104" s="14"/>
      <c r="BM104" s="14"/>
      <c r="BN104" s="1851"/>
      <c r="BO104" s="14"/>
      <c r="BP104" s="14"/>
      <c r="BQ104" s="1786"/>
      <c r="BR104" s="1786"/>
      <c r="BS104" s="14"/>
      <c r="BT104" s="14"/>
      <c r="BU104" s="14"/>
      <c r="BV104" s="14"/>
      <c r="BW104" s="1786"/>
      <c r="BX104" s="1780"/>
      <c r="BY104" s="1780"/>
      <c r="BZ104" s="1780"/>
      <c r="CA104" s="1780"/>
      <c r="CB104" s="1780"/>
      <c r="CC104" s="1780"/>
      <c r="CD104" s="1780"/>
      <c r="CE104" s="1780"/>
      <c r="CF104" s="1780"/>
      <c r="CG104" s="1780"/>
      <c r="CH104" s="1780"/>
      <c r="CI104" s="1780"/>
      <c r="CJ104" s="1780"/>
      <c r="CK104" s="1780"/>
      <c r="CL104" s="1780"/>
    </row>
    <row r="105" spans="1:90" ht="16" customHeight="1" x14ac:dyDescent="0.15">
      <c r="A105" s="13"/>
      <c r="B105" s="281"/>
      <c r="C105" s="14"/>
      <c r="D105" s="14"/>
      <c r="E105" s="281"/>
      <c r="F105" s="281"/>
      <c r="G105" s="281"/>
      <c r="H105" s="281"/>
      <c r="I105" s="281"/>
      <c r="J105" s="281"/>
      <c r="K105" s="281"/>
      <c r="L105" s="281"/>
      <c r="M105" s="14"/>
      <c r="N105" s="14"/>
      <c r="O105" s="14"/>
      <c r="P105" s="2185"/>
      <c r="Q105" s="2185"/>
      <c r="R105" s="14"/>
      <c r="S105" s="281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40"/>
      <c r="AH105" s="40"/>
      <c r="AI105" s="14"/>
      <c r="AJ105" s="14"/>
      <c r="AK105" s="14"/>
      <c r="AL105" s="14"/>
      <c r="AM105" s="1780"/>
      <c r="AN105" s="40"/>
      <c r="AO105" s="1780"/>
      <c r="AP105" s="40"/>
      <c r="AQ105" s="203"/>
      <c r="AR105" s="203"/>
      <c r="AS105" s="14"/>
      <c r="AT105" s="14"/>
      <c r="AU105" s="14"/>
      <c r="AV105" s="14"/>
      <c r="AW105" s="14"/>
      <c r="AX105" s="1851"/>
      <c r="AY105" s="40"/>
      <c r="AZ105" s="204"/>
      <c r="BA105" s="204"/>
      <c r="BB105" s="204"/>
      <c r="BC105" s="1885"/>
      <c r="BD105" s="204"/>
      <c r="BE105" s="14"/>
      <c r="BF105" s="1545"/>
      <c r="BG105" s="1786"/>
      <c r="BH105" s="1786"/>
      <c r="BI105" s="14"/>
      <c r="BJ105" s="14"/>
      <c r="BK105" s="40"/>
      <c r="BL105" s="14"/>
      <c r="BM105" s="14"/>
      <c r="BN105" s="1851"/>
      <c r="BO105" s="14"/>
      <c r="BP105" s="14"/>
      <c r="BQ105" s="1786"/>
      <c r="BR105" s="1786"/>
      <c r="BS105" s="14"/>
      <c r="BT105" s="14"/>
      <c r="BU105" s="14"/>
      <c r="BV105" s="14"/>
      <c r="BW105" s="1786"/>
      <c r="BX105" s="1780"/>
      <c r="BY105" s="1780"/>
      <c r="BZ105" s="1780"/>
      <c r="CA105" s="1780"/>
      <c r="CB105" s="1780"/>
      <c r="CC105" s="1780"/>
      <c r="CD105" s="1780"/>
      <c r="CE105" s="1780"/>
      <c r="CF105" s="1780"/>
      <c r="CG105" s="1780"/>
      <c r="CH105" s="1780"/>
      <c r="CI105" s="1780"/>
      <c r="CJ105" s="1780"/>
      <c r="CK105" s="1780"/>
      <c r="CL105" s="1780"/>
    </row>
    <row r="106" spans="1:90" ht="16" customHeight="1" x14ac:dyDescent="0.15">
      <c r="A106" s="13"/>
      <c r="B106" s="281"/>
      <c r="C106" s="14"/>
      <c r="D106" s="14"/>
      <c r="E106" s="281"/>
      <c r="F106" s="281"/>
      <c r="G106" s="281"/>
      <c r="H106" s="281"/>
      <c r="I106" s="281"/>
      <c r="J106" s="281"/>
      <c r="K106" s="281"/>
      <c r="L106" s="281"/>
      <c r="M106" s="14"/>
      <c r="N106" s="14"/>
      <c r="O106" s="14"/>
      <c r="P106" s="2185"/>
      <c r="Q106" s="2185"/>
      <c r="R106" s="14"/>
      <c r="S106" s="281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40"/>
      <c r="AH106" s="40"/>
      <c r="AI106" s="14"/>
      <c r="AJ106" s="14"/>
      <c r="AK106" s="14"/>
      <c r="AL106" s="14"/>
      <c r="AM106" s="1780"/>
      <c r="AN106" s="40"/>
      <c r="AO106" s="1780"/>
      <c r="AP106" s="40"/>
      <c r="AQ106" s="203"/>
      <c r="AR106" s="203"/>
      <c r="AS106" s="14"/>
      <c r="AT106" s="14"/>
      <c r="AU106" s="14"/>
      <c r="AV106" s="14"/>
      <c r="AW106" s="14"/>
      <c r="AX106" s="1851"/>
      <c r="AY106" s="40"/>
      <c r="AZ106" s="204"/>
      <c r="BA106" s="204"/>
      <c r="BB106" s="204"/>
      <c r="BC106" s="1885"/>
      <c r="BD106" s="204"/>
      <c r="BE106" s="14"/>
      <c r="BF106" s="1545"/>
      <c r="BG106" s="1786"/>
      <c r="BH106" s="1786"/>
      <c r="BI106" s="14"/>
      <c r="BJ106" s="14"/>
      <c r="BK106" s="40"/>
      <c r="BL106" s="14"/>
      <c r="BM106" s="14"/>
      <c r="BN106" s="1851"/>
      <c r="BO106" s="14"/>
      <c r="BP106" s="14"/>
      <c r="BQ106" s="1786"/>
      <c r="BR106" s="1786"/>
      <c r="BS106" s="14"/>
      <c r="BT106" s="14"/>
      <c r="BU106" s="14"/>
      <c r="BV106" s="14"/>
      <c r="BW106" s="1786"/>
      <c r="BX106" s="1780"/>
      <c r="BY106" s="1780"/>
      <c r="BZ106" s="1780"/>
      <c r="CA106" s="1780"/>
      <c r="CB106" s="1780"/>
      <c r="CC106" s="1780"/>
      <c r="CD106" s="1780"/>
      <c r="CE106" s="1780"/>
      <c r="CF106" s="1780"/>
      <c r="CG106" s="1780"/>
      <c r="CH106" s="1780"/>
      <c r="CI106" s="1780"/>
      <c r="CJ106" s="1780"/>
      <c r="CK106" s="1780"/>
      <c r="CL106" s="1780"/>
    </row>
    <row r="107" spans="1:90" ht="16" customHeight="1" x14ac:dyDescent="0.15">
      <c r="A107" s="108"/>
      <c r="B107" s="747"/>
      <c r="C107" s="110"/>
      <c r="D107" s="110"/>
      <c r="E107" s="747"/>
      <c r="F107" s="747"/>
      <c r="G107" s="747"/>
      <c r="H107" s="747"/>
      <c r="I107" s="747"/>
      <c r="J107" s="747"/>
      <c r="K107" s="747"/>
      <c r="L107" s="747"/>
      <c r="M107" s="110"/>
      <c r="N107" s="110"/>
      <c r="O107" s="110"/>
      <c r="P107" s="110"/>
      <c r="Q107" s="110"/>
      <c r="R107" s="110"/>
      <c r="S107" s="747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09"/>
      <c r="AH107" s="109"/>
      <c r="AI107" s="110"/>
      <c r="AJ107" s="110"/>
      <c r="AK107" s="110"/>
      <c r="AL107" s="110"/>
      <c r="AM107" s="110"/>
      <c r="AN107" s="109"/>
      <c r="AO107" s="110"/>
      <c r="AP107" s="109"/>
      <c r="AQ107" s="1846"/>
      <c r="AR107" s="1846"/>
      <c r="AS107" s="110"/>
      <c r="AT107" s="110"/>
      <c r="AU107" s="110"/>
      <c r="AV107" s="110"/>
      <c r="AW107" s="110"/>
      <c r="AX107" s="1851"/>
      <c r="AY107" s="109"/>
      <c r="AZ107" s="809"/>
      <c r="BA107" s="809"/>
      <c r="BB107" s="809"/>
      <c r="BC107" s="1886"/>
      <c r="BD107" s="809"/>
      <c r="BE107" s="110"/>
      <c r="BF107" s="1882"/>
      <c r="BG107" s="110"/>
      <c r="BH107" s="110"/>
      <c r="BI107" s="110"/>
      <c r="BJ107" s="110"/>
      <c r="BK107" s="109"/>
      <c r="BL107" s="110"/>
      <c r="BM107" s="110"/>
      <c r="BN107" s="1893"/>
      <c r="BO107" s="110"/>
      <c r="BP107" s="110"/>
      <c r="BQ107" s="110"/>
      <c r="BR107" s="110"/>
      <c r="BS107" s="110"/>
      <c r="BT107" s="110"/>
      <c r="BU107" s="110"/>
      <c r="BV107" s="110"/>
      <c r="BW107" s="1786"/>
      <c r="BX107" s="1780"/>
      <c r="BY107" s="1780"/>
      <c r="BZ107" s="1780"/>
      <c r="CA107" s="1780"/>
      <c r="CB107" s="1780"/>
      <c r="CC107" s="1780"/>
      <c r="CD107" s="1780"/>
      <c r="CE107" s="1780"/>
      <c r="CF107" s="1780"/>
      <c r="CG107" s="1780"/>
      <c r="CH107" s="1780"/>
      <c r="CI107" s="1780"/>
      <c r="CJ107" s="1780"/>
      <c r="CK107" s="1780"/>
      <c r="CL107" s="1780"/>
    </row>
  </sheetData>
  <sortState ref="BO5:BU30">
    <sortCondition ref="BU5:BU30"/>
  </sortState>
  <mergeCells count="6">
    <mergeCell ref="J15:P15"/>
    <mergeCell ref="R2:AC2"/>
    <mergeCell ref="B2:H2"/>
    <mergeCell ref="BI2:BU2"/>
    <mergeCell ref="AE2:AQ2"/>
    <mergeCell ref="AS2:BG2"/>
  </mergeCells>
  <pageMargins left="0.74791700000000005" right="0.74791700000000005" top="0.98402800000000001" bottom="0.98402800000000001" header="0.51180599999999998" footer="0.51180599999999998"/>
  <pageSetup orientation="portrait"/>
  <headerFooter>
    <oddFooter>&amp;C&amp;"Helvetica Neue,Regular"&amp;12&amp;K000000&amp;P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225" zoomScaleNormal="150" workbookViewId="0">
      <selection activeCell="C9" sqref="C9"/>
    </sheetView>
  </sheetViews>
  <sheetFormatPr baseColWidth="10" defaultColWidth="8.83203125" defaultRowHeight="13" customHeight="1" x14ac:dyDescent="0.15"/>
  <cols>
    <col min="1" max="1" width="8.83203125" style="810" customWidth="1"/>
    <col min="2" max="2" width="11.1640625" style="810" customWidth="1"/>
    <col min="3" max="6" width="15" style="810" customWidth="1"/>
    <col min="7" max="7" width="14.83203125" style="810" customWidth="1"/>
    <col min="8" max="8" width="15.1640625" style="810" customWidth="1"/>
    <col min="9" max="9" width="13.83203125" style="810" customWidth="1"/>
    <col min="10" max="10" width="14.83203125" style="810" customWidth="1"/>
    <col min="11" max="11" width="15" style="810" customWidth="1"/>
    <col min="12" max="12" width="18.1640625" style="810" customWidth="1"/>
    <col min="13" max="13" width="9.5" style="810" customWidth="1"/>
    <col min="14" max="14" width="8.83203125" style="810" customWidth="1"/>
    <col min="15" max="256" width="8.83203125" customWidth="1"/>
  </cols>
  <sheetData>
    <row r="1" spans="1:16" ht="13.75" customHeight="1" x14ac:dyDescent="0.15">
      <c r="A1" s="2"/>
      <c r="B1" s="811"/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277"/>
    </row>
    <row r="2" spans="1:16" ht="14" customHeight="1" x14ac:dyDescent="0.15">
      <c r="A2" s="6"/>
      <c r="B2" s="2851" t="s">
        <v>211</v>
      </c>
      <c r="C2" s="2852"/>
      <c r="D2" s="2852"/>
      <c r="E2" s="2852"/>
      <c r="F2" s="2852"/>
      <c r="G2" s="2852"/>
      <c r="H2" s="2852"/>
      <c r="I2" s="2852"/>
      <c r="J2" s="2852"/>
      <c r="K2" s="2852"/>
      <c r="L2" s="2852"/>
      <c r="M2" s="2852"/>
      <c r="N2" s="812"/>
    </row>
    <row r="3" spans="1:16" ht="29" customHeight="1" x14ac:dyDescent="0.15">
      <c r="A3" s="6"/>
      <c r="B3" s="813"/>
      <c r="C3" s="30" t="s">
        <v>9</v>
      </c>
      <c r="D3" s="31" t="s">
        <v>10</v>
      </c>
      <c r="E3" s="1487" t="s">
        <v>11</v>
      </c>
      <c r="F3" s="814" t="s">
        <v>12</v>
      </c>
      <c r="G3" s="34" t="s">
        <v>13</v>
      </c>
      <c r="H3" s="35" t="s">
        <v>14</v>
      </c>
      <c r="I3" s="815" t="s">
        <v>15</v>
      </c>
      <c r="J3" s="37" t="s">
        <v>16</v>
      </c>
      <c r="K3" s="1522" t="s">
        <v>17</v>
      </c>
      <c r="L3" s="39" t="s">
        <v>18</v>
      </c>
      <c r="M3" s="816"/>
      <c r="N3" s="812"/>
    </row>
    <row r="4" spans="1:16" ht="13.75" hidden="1" customHeight="1" x14ac:dyDescent="0.15">
      <c r="A4" s="6"/>
      <c r="B4" s="817" t="s">
        <v>212</v>
      </c>
      <c r="C4" s="818">
        <v>1.2E-2</v>
      </c>
      <c r="D4" s="819">
        <v>0.06</v>
      </c>
      <c r="E4" s="1488">
        <v>0.82</v>
      </c>
      <c r="F4" s="821">
        <v>1</v>
      </c>
      <c r="G4" s="822">
        <v>0.11</v>
      </c>
      <c r="H4" s="823">
        <v>317.89</v>
      </c>
      <c r="I4" s="308">
        <v>95.17</v>
      </c>
      <c r="J4" s="824">
        <v>14.56</v>
      </c>
      <c r="K4" s="399">
        <v>17.239999999999998</v>
      </c>
      <c r="L4" s="826">
        <v>2.5999999999999999E-3</v>
      </c>
      <c r="M4" s="827" t="s">
        <v>212</v>
      </c>
      <c r="N4" s="812"/>
    </row>
    <row r="5" spans="1:16" ht="13.75" hidden="1" customHeight="1" x14ac:dyDescent="0.15">
      <c r="A5" s="6"/>
      <c r="B5" s="817" t="s">
        <v>213</v>
      </c>
      <c r="C5" s="828">
        <f>Données!C4</f>
        <v>43.121588812676997</v>
      </c>
      <c r="D5" s="829">
        <f>Données!C5</f>
        <v>39.308994575824997</v>
      </c>
      <c r="E5" s="1489">
        <f>Données!C6</f>
        <v>180.75082410322401</v>
      </c>
      <c r="F5" s="830">
        <f>Données!C7</f>
        <v>42.985086142328001</v>
      </c>
      <c r="G5" s="12">
        <f>Données!C8</f>
        <v>246.59691409982301</v>
      </c>
      <c r="H5" s="831">
        <f>Données!C9</f>
        <v>206.42196550374899</v>
      </c>
      <c r="I5" s="832">
        <f>Données!C10</f>
        <v>329.40358444374101</v>
      </c>
      <c r="J5" s="833">
        <f>Données!C11</f>
        <v>291.50879449684197</v>
      </c>
      <c r="K5" s="1523">
        <f>Données!C12</f>
        <v>290.45650938333898</v>
      </c>
      <c r="L5" s="834">
        <f>Données!C13</f>
        <v>235.348095312818</v>
      </c>
      <c r="M5" s="827" t="s">
        <v>214</v>
      </c>
      <c r="N5" s="812"/>
    </row>
    <row r="6" spans="1:16" ht="16" customHeight="1" x14ac:dyDescent="0.15">
      <c r="A6" s="6"/>
      <c r="B6" s="835" t="s">
        <v>215</v>
      </c>
      <c r="C6" s="836">
        <f>Données!D4</f>
        <v>44.132012255520998</v>
      </c>
      <c r="D6" s="837">
        <f>Données!D5</f>
        <v>45.222900847436001</v>
      </c>
      <c r="E6" s="1490">
        <f>Données!D6</f>
        <v>182.36958601907</v>
      </c>
      <c r="F6" s="838">
        <f>Données!D7</f>
        <v>43.987967215048002</v>
      </c>
      <c r="G6" s="839">
        <f>Données!D8</f>
        <v>247.129213218118</v>
      </c>
      <c r="H6" s="840">
        <f>Données!D9</f>
        <v>206.49768576544</v>
      </c>
      <c r="I6" s="841">
        <f>Données!D10</f>
        <v>329.43531622964798</v>
      </c>
      <c r="J6" s="842">
        <f>Données!D11</f>
        <v>291.52005775489101</v>
      </c>
      <c r="K6" s="1524">
        <f>Données!D12</f>
        <v>290.46249743958299</v>
      </c>
      <c r="L6" s="843">
        <f>Données!D13</f>
        <v>235.355048158447</v>
      </c>
      <c r="M6" s="844" t="s">
        <v>2</v>
      </c>
      <c r="N6" s="301"/>
      <c r="O6" s="1411"/>
      <c r="P6" s="1411"/>
    </row>
    <row r="7" spans="1:16" ht="16" customHeight="1" x14ac:dyDescent="0.15">
      <c r="A7" s="6"/>
      <c r="B7" s="835" t="s">
        <v>216</v>
      </c>
      <c r="C7" s="845">
        <f t="shared" ref="C7:L7" si="0">C6-C5</f>
        <v>1.0104234428440009</v>
      </c>
      <c r="D7" s="447">
        <f t="shared" si="0"/>
        <v>5.9139062716110047</v>
      </c>
      <c r="E7" s="1491">
        <f t="shared" si="0"/>
        <v>1.6187619158459938</v>
      </c>
      <c r="F7" s="536">
        <f t="shared" si="0"/>
        <v>1.002881072720001</v>
      </c>
      <c r="G7" s="737">
        <f t="shared" si="0"/>
        <v>0.53229911829498633</v>
      </c>
      <c r="H7" s="847">
        <f t="shared" si="0"/>
        <v>7.5720261691003543E-2</v>
      </c>
      <c r="I7" s="497">
        <f t="shared" si="0"/>
        <v>3.1731785906970345E-2</v>
      </c>
      <c r="J7" s="529">
        <f t="shared" si="0"/>
        <v>1.1263258049041269E-2</v>
      </c>
      <c r="K7" s="504">
        <f t="shared" si="0"/>
        <v>5.9880562440071117E-3</v>
      </c>
      <c r="L7" s="522">
        <f t="shared" si="0"/>
        <v>6.9528456290015583E-3</v>
      </c>
      <c r="M7" s="844" t="s">
        <v>216</v>
      </c>
      <c r="N7" s="301"/>
      <c r="O7" s="1411"/>
      <c r="P7" s="1411"/>
    </row>
    <row r="8" spans="1:16" ht="16" customHeight="1" x14ac:dyDescent="0.15">
      <c r="A8" s="6"/>
      <c r="B8" s="835" t="s">
        <v>217</v>
      </c>
      <c r="C8" s="369">
        <f>((C7-PQH!B$4)/(PQH!B$5-PQH!B$4))/10</f>
        <v>7.0319315115873708</v>
      </c>
      <c r="D8" s="314">
        <f>((D7-PQH!C$4)/(PQH!C$5-PQH!C$4))/10</f>
        <v>8.8349249211416723</v>
      </c>
      <c r="E8" s="1492">
        <f>((E7-PQH!D$4)/(PQH!D$5-PQH!D$4))/10</f>
        <v>7.8150638832878396</v>
      </c>
      <c r="F8" s="434">
        <f>((F7-PQH!E$4)/(PQH!E$5-PQH!E$4))/10</f>
        <v>8.1971192483440429</v>
      </c>
      <c r="G8" s="502">
        <f>((G7-PQH!F$4)/(PQH!F$5-PQH!F$4))/10</f>
        <v>4.8218836431698673</v>
      </c>
      <c r="H8" s="849">
        <f>((H7-PQH!G$4)/(PQH!G$5-PQH!G$4))/10</f>
        <v>1.3537390445059843</v>
      </c>
      <c r="I8" s="309">
        <f>((I7-PQH!H$4)/(PQH!H$5-PQH!H$4))/10</f>
        <v>2.2259458958487905</v>
      </c>
      <c r="J8" s="438">
        <f>((J7-PQH!I$4)/(PQH!I$5-PQH!I$4))/10</f>
        <v>3.961588815016146</v>
      </c>
      <c r="K8" s="400">
        <f>((K7-PQH!J$4)/(PQH!J$5-PQH!J$4))/10</f>
        <v>5.2103161928566752</v>
      </c>
      <c r="L8" s="345">
        <f>((L7-PQH!K$4)/(PQH!K$5-PQH!K$4))/10</f>
        <v>9.4856924791695825</v>
      </c>
      <c r="M8" s="844" t="s">
        <v>217</v>
      </c>
      <c r="N8" s="301"/>
      <c r="O8" s="1411"/>
      <c r="P8" s="1411"/>
    </row>
    <row r="9" spans="1:16" ht="16" customHeight="1" x14ac:dyDescent="0.15">
      <c r="A9" s="6"/>
      <c r="B9" s="850"/>
      <c r="C9" s="1498" t="s">
        <v>218</v>
      </c>
      <c r="D9" s="1499">
        <f>SUM(C7:L7)</f>
        <v>10.209928028836011</v>
      </c>
      <c r="E9" s="1500" t="s">
        <v>219</v>
      </c>
      <c r="F9" s="2021">
        <f>((D9-PQH!L$4)/(PQH!L$5-PQH!L$4))/10</f>
        <v>8.489257285281921</v>
      </c>
      <c r="G9" s="502"/>
      <c r="H9" s="281"/>
      <c r="I9" s="309"/>
      <c r="J9" s="438"/>
      <c r="K9" s="400"/>
      <c r="L9" s="345"/>
      <c r="M9" s="851"/>
      <c r="N9" s="1473"/>
      <c r="O9" s="1411"/>
      <c r="P9" s="1411"/>
    </row>
    <row r="10" spans="1:16" ht="16" hidden="1" customHeight="1" x14ac:dyDescent="0.15">
      <c r="A10" s="6"/>
      <c r="B10" s="817" t="s">
        <v>220</v>
      </c>
      <c r="C10" s="701">
        <v>0</v>
      </c>
      <c r="D10" s="852"/>
      <c r="E10" s="1493"/>
      <c r="F10" s="854"/>
      <c r="G10" s="17"/>
      <c r="H10" s="855"/>
      <c r="I10" s="856"/>
      <c r="J10" s="857"/>
      <c r="K10" s="1525"/>
      <c r="L10" s="859"/>
      <c r="M10" s="827" t="s">
        <v>220</v>
      </c>
      <c r="N10" s="1474"/>
      <c r="O10" s="1411"/>
      <c r="P10" s="1411"/>
    </row>
    <row r="11" spans="1:16" ht="16" customHeight="1" x14ac:dyDescent="0.15">
      <c r="A11" s="6"/>
      <c r="B11" s="835" t="s">
        <v>4</v>
      </c>
      <c r="C11" s="701"/>
      <c r="D11" s="860"/>
      <c r="E11" s="1494"/>
      <c r="F11" s="862"/>
      <c r="G11" s="863"/>
      <c r="H11" s="864"/>
      <c r="I11" s="865"/>
      <c r="J11" s="864"/>
      <c r="K11" s="1526"/>
      <c r="L11" s="867"/>
      <c r="M11" s="844" t="s">
        <v>4</v>
      </c>
      <c r="N11" s="1474"/>
      <c r="O11" s="1411"/>
      <c r="P11" s="1411"/>
    </row>
    <row r="12" spans="1:16" ht="16" hidden="1" customHeight="1" x14ac:dyDescent="0.15">
      <c r="A12" s="6"/>
      <c r="B12" s="835" t="s">
        <v>221</v>
      </c>
      <c r="C12" s="701">
        <f t="shared" ref="C12:L12" si="1">C11-C10</f>
        <v>0</v>
      </c>
      <c r="D12" s="868">
        <f t="shared" si="1"/>
        <v>0</v>
      </c>
      <c r="E12" s="1494">
        <f t="shared" si="1"/>
        <v>0</v>
      </c>
      <c r="F12" s="869">
        <f t="shared" si="1"/>
        <v>0</v>
      </c>
      <c r="G12" s="863">
        <f t="shared" si="1"/>
        <v>0</v>
      </c>
      <c r="H12" s="864">
        <f t="shared" si="1"/>
        <v>0</v>
      </c>
      <c r="I12" s="865">
        <f t="shared" si="1"/>
        <v>0</v>
      </c>
      <c r="J12" s="864">
        <f t="shared" si="1"/>
        <v>0</v>
      </c>
      <c r="K12" s="1526">
        <f t="shared" si="1"/>
        <v>0</v>
      </c>
      <c r="L12" s="867">
        <f t="shared" si="1"/>
        <v>0</v>
      </c>
      <c r="M12" s="844" t="s">
        <v>221</v>
      </c>
      <c r="N12" s="1474"/>
      <c r="O12" s="1411"/>
      <c r="P12" s="1411"/>
    </row>
    <row r="13" spans="1:16" ht="16" customHeight="1" x14ac:dyDescent="0.15">
      <c r="A13" s="6"/>
      <c r="B13" s="835" t="s">
        <v>222</v>
      </c>
      <c r="C13" s="1503">
        <f>Données!I4</f>
        <v>102.835538226398</v>
      </c>
      <c r="D13" s="1504">
        <f>Données!I5</f>
        <v>77.182271713585394</v>
      </c>
      <c r="E13" s="1505">
        <f>Données!I6</f>
        <v>131.434034895</v>
      </c>
      <c r="F13" s="1506">
        <f>Données!I7</f>
        <v>102.835538226398</v>
      </c>
      <c r="G13" s="1507">
        <f>Données!I8</f>
        <v>335.95905389125801</v>
      </c>
      <c r="H13" s="1508">
        <f>Données!I9</f>
        <v>14.2370638633873</v>
      </c>
      <c r="I13" s="1509">
        <f>Données!I10</f>
        <v>92.957810643126507</v>
      </c>
      <c r="J13" s="1510">
        <f>Données!I11</f>
        <v>172.91849008872001</v>
      </c>
      <c r="K13" s="1527">
        <f>Données!I12</f>
        <v>48.042916298073202</v>
      </c>
      <c r="L13" s="1511">
        <f>Données!I13</f>
        <v>225.06262111286699</v>
      </c>
      <c r="M13" s="844" t="s">
        <v>222</v>
      </c>
      <c r="N13" s="1475"/>
      <c r="O13" s="1411"/>
      <c r="P13" s="1411"/>
    </row>
    <row r="14" spans="1:16" ht="16" customHeight="1" x14ac:dyDescent="0.15">
      <c r="A14" s="6"/>
      <c r="B14" s="835" t="s">
        <v>223</v>
      </c>
      <c r="C14" s="911">
        <f>90+C13</f>
        <v>192.835538226398</v>
      </c>
      <c r="D14" s="912">
        <f>90+D13</f>
        <v>167.18227171358541</v>
      </c>
      <c r="E14" s="1369">
        <f>90+E13</f>
        <v>221.434034895</v>
      </c>
      <c r="F14" s="914">
        <f>90+F13</f>
        <v>192.835538226398</v>
      </c>
      <c r="G14" s="915">
        <f>G13-90</f>
        <v>245.95905389125801</v>
      </c>
      <c r="H14" s="1512">
        <f>90+H13</f>
        <v>104.23706386338731</v>
      </c>
      <c r="I14" s="917">
        <f>90+I13</f>
        <v>182.95781064312649</v>
      </c>
      <c r="J14" s="918">
        <f>90+J13</f>
        <v>262.91849008871998</v>
      </c>
      <c r="K14" s="1528">
        <f>90+K13</f>
        <v>138.04291629807321</v>
      </c>
      <c r="L14" s="920">
        <f>90+L13</f>
        <v>315.06262111286696</v>
      </c>
      <c r="M14" s="844" t="s">
        <v>223</v>
      </c>
      <c r="N14" s="1475"/>
      <c r="O14" s="1411"/>
      <c r="P14" s="1411"/>
    </row>
    <row r="15" spans="1:16" ht="16" customHeight="1" x14ac:dyDescent="0.15">
      <c r="A15" s="6"/>
      <c r="B15" s="835" t="s">
        <v>224</v>
      </c>
      <c r="C15" s="911">
        <f>C13+180</f>
        <v>282.835538226398</v>
      </c>
      <c r="D15" s="912">
        <f>D13+180</f>
        <v>257.18227171358541</v>
      </c>
      <c r="E15" s="1369">
        <f>E13+180</f>
        <v>311.43403489499997</v>
      </c>
      <c r="F15" s="914">
        <f>F13+180</f>
        <v>282.835538226398</v>
      </c>
      <c r="G15" s="915">
        <f>G13-180</f>
        <v>155.95905389125801</v>
      </c>
      <c r="H15" s="1512">
        <f>H13+180</f>
        <v>194.23706386338731</v>
      </c>
      <c r="I15" s="917">
        <f>I13+180</f>
        <v>272.95781064312649</v>
      </c>
      <c r="J15" s="918">
        <f>J13+180</f>
        <v>352.91849008871998</v>
      </c>
      <c r="K15" s="1528">
        <f>K13+180</f>
        <v>228.04291629807321</v>
      </c>
      <c r="L15" s="920">
        <f>L13-180</f>
        <v>45.062621112866992</v>
      </c>
      <c r="M15" s="844" t="s">
        <v>224</v>
      </c>
      <c r="N15" s="1476"/>
      <c r="O15" s="1411"/>
      <c r="P15" s="1411"/>
    </row>
    <row r="16" spans="1:16" ht="16" customHeight="1" x14ac:dyDescent="0.15">
      <c r="A16" s="6"/>
      <c r="B16" s="835" t="s">
        <v>225</v>
      </c>
      <c r="C16" s="911">
        <f>(90+C15)-360</f>
        <v>12.835538226398</v>
      </c>
      <c r="D16" s="912">
        <f>90+D15</f>
        <v>347.18227171358541</v>
      </c>
      <c r="E16" s="1369">
        <f>360-E15</f>
        <v>48.565965105000032</v>
      </c>
      <c r="F16" s="914">
        <f>(90+F15)-360</f>
        <v>12.835538226398</v>
      </c>
      <c r="G16" s="915">
        <f>G15-90</f>
        <v>65.959053891258009</v>
      </c>
      <c r="H16" s="1512">
        <f>90+H15</f>
        <v>284.23706386338733</v>
      </c>
      <c r="I16" s="917">
        <f>90+I15-360</f>
        <v>2.9578106431264928</v>
      </c>
      <c r="J16" s="918">
        <f>90+J15-360</f>
        <v>82.918490088719977</v>
      </c>
      <c r="K16" s="1528">
        <f>90+K15</f>
        <v>318.04291629807324</v>
      </c>
      <c r="L16" s="920">
        <f>90+L15</f>
        <v>135.06262111286699</v>
      </c>
      <c r="M16" s="844" t="s">
        <v>225</v>
      </c>
      <c r="N16" s="1476"/>
      <c r="O16" s="1411"/>
      <c r="P16" s="1411"/>
    </row>
    <row r="17" spans="1:16" ht="16" customHeight="1" x14ac:dyDescent="0.15">
      <c r="A17" s="6"/>
      <c r="B17" s="835" t="s">
        <v>226</v>
      </c>
      <c r="C17" s="2434">
        <f>C6-C16</f>
        <v>31.296474029122997</v>
      </c>
      <c r="D17" s="2435">
        <f>D13-D6</f>
        <v>31.959370866149392</v>
      </c>
      <c r="E17" s="2436">
        <f>E14-E6</f>
        <v>39.064448875929997</v>
      </c>
      <c r="F17" s="2437">
        <f>F6-F16</f>
        <v>31.152428988650001</v>
      </c>
      <c r="G17" s="2438">
        <f>G6-G14</f>
        <v>1.1701593268599879</v>
      </c>
      <c r="H17" s="2439">
        <f>H6-H15</f>
        <v>12.260621902052691</v>
      </c>
      <c r="I17" s="2440">
        <f>I16+360-I6</f>
        <v>33.522494413478512</v>
      </c>
      <c r="J17" s="2441">
        <f>J6-J14</f>
        <v>28.601567666171036</v>
      </c>
      <c r="K17" s="2442">
        <f>K16-K6</f>
        <v>27.580418858490248</v>
      </c>
      <c r="L17" s="2443">
        <f>L6-L13</f>
        <v>10.292427045580013</v>
      </c>
      <c r="M17" s="844" t="s">
        <v>227</v>
      </c>
      <c r="N17" s="1474"/>
      <c r="O17" s="1411"/>
      <c r="P17" s="1411"/>
    </row>
    <row r="18" spans="1:16" ht="16" customHeight="1" x14ac:dyDescent="0.15">
      <c r="A18" s="6"/>
      <c r="B18" s="817" t="s">
        <v>228</v>
      </c>
      <c r="C18" s="2017">
        <v>175</v>
      </c>
      <c r="D18" s="1504">
        <f>Données!J5</f>
        <v>48.261895739000899</v>
      </c>
      <c r="E18" s="1505">
        <f>Données!J6</f>
        <v>76.628461328124004</v>
      </c>
      <c r="F18" s="2019">
        <v>175</v>
      </c>
      <c r="G18" s="1507">
        <f>Données!J8</f>
        <v>49.514571342611397</v>
      </c>
      <c r="H18" s="1508">
        <f>Données!J9</f>
        <v>100.405608712765</v>
      </c>
      <c r="I18" s="1509">
        <f>Données!J10</f>
        <v>113.615539600875</v>
      </c>
      <c r="J18" s="1510">
        <f>Données!J11</f>
        <v>73.977869861690095</v>
      </c>
      <c r="K18" s="1527">
        <f>Données!J12</f>
        <v>131.720223819316</v>
      </c>
      <c r="L18" s="1511">
        <f>Données!J13</f>
        <v>110.244851078526</v>
      </c>
      <c r="M18" s="827" t="s">
        <v>228</v>
      </c>
      <c r="N18" s="1474"/>
      <c r="O18" s="1411"/>
      <c r="P18" s="1411"/>
    </row>
    <row r="19" spans="1:16" ht="16" customHeight="1" x14ac:dyDescent="0.15">
      <c r="A19" s="6"/>
      <c r="B19" s="817" t="s">
        <v>229</v>
      </c>
      <c r="C19" s="2018">
        <f>90+C18</f>
        <v>265</v>
      </c>
      <c r="D19" s="912">
        <f>90+D18</f>
        <v>138.26189573900089</v>
      </c>
      <c r="E19" s="1369">
        <f>90+E18</f>
        <v>166.62846132812399</v>
      </c>
      <c r="F19" s="2020">
        <v>265</v>
      </c>
      <c r="G19" s="915">
        <f t="shared" ref="G19:L19" si="2">90+G18</f>
        <v>139.51457134261139</v>
      </c>
      <c r="H19" s="1512">
        <f t="shared" si="2"/>
        <v>190.405608712765</v>
      </c>
      <c r="I19" s="917">
        <f t="shared" si="2"/>
        <v>203.615539600875</v>
      </c>
      <c r="J19" s="918">
        <f t="shared" si="2"/>
        <v>163.9778698616901</v>
      </c>
      <c r="K19" s="1528">
        <f t="shared" si="2"/>
        <v>221.720223819316</v>
      </c>
      <c r="L19" s="920">
        <f t="shared" si="2"/>
        <v>200.24485107852598</v>
      </c>
      <c r="M19" s="827" t="s">
        <v>229</v>
      </c>
      <c r="N19" s="1474"/>
      <c r="O19" s="1411"/>
      <c r="P19" s="1411"/>
    </row>
    <row r="20" spans="1:16" ht="16" customHeight="1" x14ac:dyDescent="0.15">
      <c r="A20" s="6"/>
      <c r="B20" s="817" t="s">
        <v>230</v>
      </c>
      <c r="C20" s="2018">
        <f>C18+180</f>
        <v>355</v>
      </c>
      <c r="D20" s="912">
        <f>D18+180</f>
        <v>228.26189573900089</v>
      </c>
      <c r="E20" s="1369">
        <f>E18+180</f>
        <v>256.62846132812399</v>
      </c>
      <c r="F20" s="2020">
        <v>355</v>
      </c>
      <c r="G20" s="915">
        <f t="shared" ref="G20:L20" si="3">G18+180</f>
        <v>229.51457134261139</v>
      </c>
      <c r="H20" s="1512">
        <f t="shared" si="3"/>
        <v>280.405608712765</v>
      </c>
      <c r="I20" s="917">
        <f t="shared" si="3"/>
        <v>293.61553960087497</v>
      </c>
      <c r="J20" s="918">
        <f t="shared" si="3"/>
        <v>253.9778698616901</v>
      </c>
      <c r="K20" s="1528">
        <f t="shared" si="3"/>
        <v>311.720223819316</v>
      </c>
      <c r="L20" s="920">
        <f t="shared" si="3"/>
        <v>290.24485107852598</v>
      </c>
      <c r="M20" s="827" t="s">
        <v>230</v>
      </c>
      <c r="N20" s="1474"/>
      <c r="O20" s="1411"/>
      <c r="P20" s="1411"/>
    </row>
    <row r="21" spans="1:16" ht="16" customHeight="1" x14ac:dyDescent="0.15">
      <c r="A21" s="6"/>
      <c r="B21" s="817" t="s">
        <v>231</v>
      </c>
      <c r="C21" s="2018">
        <f>C19-180</f>
        <v>85</v>
      </c>
      <c r="D21" s="912">
        <f>90+D20</f>
        <v>318.26189573900092</v>
      </c>
      <c r="E21" s="1369">
        <f>90+E20</f>
        <v>346.62846132812399</v>
      </c>
      <c r="F21" s="2020">
        <v>85</v>
      </c>
      <c r="G21" s="915">
        <f>90+G20</f>
        <v>319.51457134261136</v>
      </c>
      <c r="H21" s="1512">
        <f>90+H20-360</f>
        <v>10.405608712765002</v>
      </c>
      <c r="I21" s="917">
        <f>90+I20-360</f>
        <v>23.615539600874968</v>
      </c>
      <c r="J21" s="918">
        <f>90+J20</f>
        <v>343.97786986169012</v>
      </c>
      <c r="K21" s="1528">
        <f>90+K20-360</f>
        <v>41.720223819316004</v>
      </c>
      <c r="L21" s="920">
        <f>90+L20-360</f>
        <v>20.244851078525983</v>
      </c>
      <c r="M21" s="827" t="s">
        <v>231</v>
      </c>
      <c r="N21" s="1474"/>
      <c r="O21" s="1411"/>
      <c r="P21" s="1411"/>
    </row>
    <row r="22" spans="1:16" ht="16" customHeight="1" x14ac:dyDescent="0.15">
      <c r="A22" s="6"/>
      <c r="B22" s="835" t="s">
        <v>232</v>
      </c>
      <c r="C22" s="2444">
        <f>C21-C6</f>
        <v>40.867987744479002</v>
      </c>
      <c r="D22" s="2445">
        <f>D18-D6</f>
        <v>3.0389948915648972</v>
      </c>
      <c r="E22" s="2446">
        <f>E6-E19</f>
        <v>15.741124690946009</v>
      </c>
      <c r="F22" s="2447">
        <f>F21-F6</f>
        <v>41.012032784951998</v>
      </c>
      <c r="G22" s="2448">
        <f>G6-G20</f>
        <v>17.614641875506607</v>
      </c>
      <c r="H22" s="2449">
        <f>H6-H19</f>
        <v>16.092077052674995</v>
      </c>
      <c r="I22" s="2450">
        <f>I6-I20</f>
        <v>35.819776628773013</v>
      </c>
      <c r="J22" s="2451">
        <f>J6-J20</f>
        <v>37.542187893200918</v>
      </c>
      <c r="K22" s="2452">
        <f>K20-K6</f>
        <v>21.257726379733015</v>
      </c>
      <c r="L22" s="2453">
        <f>L6-L19</f>
        <v>35.110197079921022</v>
      </c>
      <c r="M22" s="827" t="s">
        <v>233</v>
      </c>
      <c r="N22" s="1474"/>
      <c r="O22" s="1411"/>
      <c r="P22" s="1411"/>
    </row>
    <row r="23" spans="1:16" ht="16" customHeight="1" x14ac:dyDescent="0.15">
      <c r="A23" s="6"/>
      <c r="B23" s="817" t="s">
        <v>234</v>
      </c>
      <c r="C23" s="870">
        <f>Données!G4</f>
        <v>0.99239042642800002</v>
      </c>
      <c r="D23" s="819">
        <f>Données!G5</f>
        <v>0.31910692981099997</v>
      </c>
      <c r="E23" s="1488">
        <f>Données!G6</f>
        <v>0.72010476169100002</v>
      </c>
      <c r="F23" s="433">
        <f>Données!G7</f>
        <v>0.99137293665299997</v>
      </c>
      <c r="G23" s="822">
        <f>Données!G8</f>
        <v>1.508903027673</v>
      </c>
      <c r="H23" s="823">
        <f>Données!G9</f>
        <v>5.4493567973620003</v>
      </c>
      <c r="I23" s="308">
        <f>Données!G10</f>
        <v>9.7926144951049992</v>
      </c>
      <c r="J23" s="824">
        <f>Données!G11</f>
        <v>19.623826906028999</v>
      </c>
      <c r="K23" s="399">
        <f>Données!G12</f>
        <v>30.181992019481999</v>
      </c>
      <c r="L23" s="826">
        <f>Données!G13</f>
        <v>29.754540386180999</v>
      </c>
      <c r="M23" s="827" t="s">
        <v>234</v>
      </c>
      <c r="N23" s="1474"/>
      <c r="O23" s="1411"/>
      <c r="P23" s="1411"/>
    </row>
    <row r="24" spans="1:16" ht="16" customHeight="1" x14ac:dyDescent="0.15">
      <c r="A24" s="6"/>
      <c r="B24" s="835" t="s">
        <v>235</v>
      </c>
      <c r="C24" s="871">
        <f>Données!H4</f>
        <v>0.99162232030099995</v>
      </c>
      <c r="D24" s="872">
        <f>Données!H5</f>
        <v>0.31576397565800002</v>
      </c>
      <c r="E24" s="1495">
        <f>Données!H6</f>
        <v>0.72021042199700003</v>
      </c>
      <c r="F24" s="873">
        <f>Données!H7</f>
        <v>0.99113270101600004</v>
      </c>
      <c r="G24" s="874">
        <f>Données!H8</f>
        <v>1.507596893553</v>
      </c>
      <c r="H24" s="875">
        <f>Données!H9</f>
        <v>5.4492880539420003</v>
      </c>
      <c r="I24" s="876">
        <f>Données!H10</f>
        <v>9.7923671220300008</v>
      </c>
      <c r="J24" s="877">
        <f>Données!H11</f>
        <v>19.623991323114002</v>
      </c>
      <c r="K24" s="1529">
        <f>Données!H12</f>
        <v>30.181972834947999</v>
      </c>
      <c r="L24" s="878">
        <f>Données!H13</f>
        <v>29.754665988444</v>
      </c>
      <c r="M24" s="844" t="s">
        <v>235</v>
      </c>
      <c r="N24" s="1477"/>
      <c r="O24" s="1411"/>
      <c r="P24" s="1411"/>
    </row>
    <row r="25" spans="1:16" ht="16" customHeight="1" x14ac:dyDescent="0.15">
      <c r="A25" s="6"/>
      <c r="B25" s="817" t="s">
        <v>236</v>
      </c>
      <c r="C25" s="870">
        <f>C24-C23</f>
        <v>-7.6810612700006775E-4</v>
      </c>
      <c r="D25" s="819">
        <f>D24-D23</f>
        <v>-3.3429541529999551E-3</v>
      </c>
      <c r="E25" s="1488">
        <f>E24-E23</f>
        <v>1.0566030600001053E-4</v>
      </c>
      <c r="F25" s="433">
        <f>F24-F23</f>
        <v>-2.4023563699993034E-4</v>
      </c>
      <c r="G25" s="822">
        <f>G23-G24</f>
        <v>1.3061341200000243E-3</v>
      </c>
      <c r="H25" s="823">
        <f>H24-H23</f>
        <v>-6.8743419999961475E-5</v>
      </c>
      <c r="I25" s="308">
        <f>I24-I23</f>
        <v>-2.4737307499833605E-4</v>
      </c>
      <c r="J25" s="824">
        <f>J23-J24</f>
        <v>-1.6441708500281038E-4</v>
      </c>
      <c r="K25" s="399">
        <f>K24-K23</f>
        <v>-1.9184534000515896E-5</v>
      </c>
      <c r="L25" s="826">
        <f>L23-L24</f>
        <v>-1.2560226300095678E-4</v>
      </c>
      <c r="M25" s="827" t="s">
        <v>236</v>
      </c>
      <c r="N25" s="1474"/>
      <c r="O25" s="1411"/>
      <c r="P25" s="1411"/>
    </row>
    <row r="26" spans="1:16" ht="16" customHeight="1" x14ac:dyDescent="0.15">
      <c r="A26" s="6"/>
      <c r="B26" s="879" t="s">
        <v>237</v>
      </c>
      <c r="C26" s="1412">
        <f>$C4/$C24^2</f>
        <v>1.2203619513559612E-2</v>
      </c>
      <c r="D26" s="541">
        <f>$D4/$D24^2</f>
        <v>0.60176384008115924</v>
      </c>
      <c r="E26" s="1413">
        <f>$E4/$E24^2</f>
        <v>1.5808659635072815</v>
      </c>
      <c r="F26" s="638">
        <f>$F4/$F24^2</f>
        <v>1.0179733050938751</v>
      </c>
      <c r="G26" s="22">
        <f>$G4/$G24^2</f>
        <v>4.8397420750531092E-2</v>
      </c>
      <c r="H26" s="1414">
        <f>$H4/$H24^2</f>
        <v>10.705262846002825</v>
      </c>
      <c r="I26" s="407">
        <f>$I4/$I24^2</f>
        <v>0.992486698897875</v>
      </c>
      <c r="J26" s="1479">
        <f>$J4/$J24^2</f>
        <v>3.7808259806415161E-2</v>
      </c>
      <c r="K26" s="1415">
        <f>$K4/$K24^2</f>
        <v>1.8925266931157904E-2</v>
      </c>
      <c r="L26" s="1399">
        <f>$L4/$L24^2</f>
        <v>2.9367243828568682E-6</v>
      </c>
      <c r="M26" s="844" t="s">
        <v>238</v>
      </c>
      <c r="N26" s="301"/>
      <c r="O26" s="1411"/>
      <c r="P26" s="1411"/>
    </row>
    <row r="27" spans="1:16" ht="16" customHeight="1" x14ac:dyDescent="0.15">
      <c r="A27" s="6"/>
      <c r="B27" s="880" t="s">
        <v>239</v>
      </c>
      <c r="C27" s="1412">
        <f>(($C26-IGH!$C3)/(IGH!$C4-IGH!$C3))/10</f>
        <v>7.5395107693859469</v>
      </c>
      <c r="D27" s="541">
        <f>(($D26-IGH!$D3)/(IGH!$D4-IGH!$D3))/10</f>
        <v>8.0528905143334946</v>
      </c>
      <c r="E27" s="1413">
        <f>(($E26-IGH!$E3)/(IGH!$E4-IGH!$E3))/10</f>
        <v>9.0117060018785047</v>
      </c>
      <c r="F27" s="638">
        <f>(($F26-IGH!$F3)/(IGH!$F4-IGH!$F3))/10</f>
        <v>7.0247478582990199</v>
      </c>
      <c r="G27" s="22">
        <f>(($G26-IGH!$G3)/(IGH!$G4-IGH!$G3))/10</f>
        <v>5.0629412599131509</v>
      </c>
      <c r="H27" s="1414">
        <f>(($H26-IGH!$H3)/(IGH!$H4-IGH!$H3))/10</f>
        <v>0.11112907772363341</v>
      </c>
      <c r="I27" s="407">
        <f>(($I26-IGH!$I3)/(IGH!$I4-IGH!$I3))/10</f>
        <v>2.9459535320670538</v>
      </c>
      <c r="J27" s="1479">
        <f>(($J26-IGH!$J3)/(IGH!$J4-IGH!$J3))/10</f>
        <v>2.336518785826541</v>
      </c>
      <c r="K27" s="1415">
        <f>(($K26-IGH!$K3)/(IGH!$K4-IGH!$K3))/10</f>
        <v>2.9366890704499897</v>
      </c>
      <c r="L27" s="1399">
        <f>(($L26-IGH!$L3)/(IGH!$L4-IGH!$L3))/10</f>
        <v>9.7746061607128745</v>
      </c>
      <c r="M27" s="844" t="s">
        <v>240</v>
      </c>
      <c r="N27" s="301"/>
      <c r="O27" s="1411"/>
      <c r="P27" s="1411"/>
    </row>
    <row r="28" spans="1:16" ht="16" customHeight="1" x14ac:dyDescent="0.15">
      <c r="A28" s="6"/>
      <c r="B28" s="881"/>
      <c r="C28" s="1501" t="s">
        <v>241</v>
      </c>
      <c r="D28" s="1502">
        <f>SUM(C26:L26)</f>
        <v>15.015690157309061</v>
      </c>
      <c r="E28" s="1501" t="s">
        <v>242</v>
      </c>
      <c r="F28" s="2022">
        <f>((D28-IGH!$N$3)/(IGH!$N$4-IGH!$N$3))/10</f>
        <v>1.7971159750495169</v>
      </c>
      <c r="G28" s="882"/>
      <c r="H28" s="882"/>
      <c r="I28" s="883"/>
      <c r="J28" s="883"/>
      <c r="K28" s="884"/>
      <c r="L28" s="883"/>
      <c r="M28" s="885"/>
      <c r="N28" s="1476"/>
      <c r="O28" s="1411"/>
      <c r="P28" s="1411"/>
    </row>
    <row r="29" spans="1:16" ht="16" customHeight="1" x14ac:dyDescent="0.15">
      <c r="A29" s="6"/>
      <c r="B29" s="886" t="s">
        <v>68</v>
      </c>
      <c r="C29" s="1513">
        <v>1</v>
      </c>
      <c r="D29" s="1514">
        <v>1</v>
      </c>
      <c r="E29" s="1515"/>
      <c r="F29" s="1516">
        <v>1</v>
      </c>
      <c r="G29" s="1517">
        <v>1</v>
      </c>
      <c r="H29" s="1518"/>
      <c r="I29" s="1519"/>
      <c r="J29" s="1520">
        <v>1</v>
      </c>
      <c r="K29" s="1521">
        <v>1</v>
      </c>
      <c r="L29" s="1531">
        <v>1</v>
      </c>
      <c r="M29" s="893" t="s">
        <v>68</v>
      </c>
      <c r="N29" s="301"/>
      <c r="O29" s="1411"/>
      <c r="P29" s="1411"/>
    </row>
    <row r="30" spans="1:16" ht="16" customHeight="1" x14ac:dyDescent="0.15">
      <c r="A30" s="6"/>
      <c r="B30" s="894" t="s">
        <v>69</v>
      </c>
      <c r="C30" s="1513">
        <v>2</v>
      </c>
      <c r="D30" s="1514">
        <v>2</v>
      </c>
      <c r="E30" s="1515"/>
      <c r="F30" s="1516">
        <v>2</v>
      </c>
      <c r="G30" s="1517"/>
      <c r="H30" s="1518">
        <v>2</v>
      </c>
      <c r="I30" s="1519"/>
      <c r="J30" s="1520"/>
      <c r="K30" s="1521"/>
      <c r="L30" s="1531">
        <v>2</v>
      </c>
      <c r="M30" s="895" t="s">
        <v>69</v>
      </c>
      <c r="N30" s="301"/>
      <c r="O30" s="1411"/>
      <c r="P30" s="1411"/>
    </row>
    <row r="31" spans="1:16" ht="16" customHeight="1" x14ac:dyDescent="0.15">
      <c r="A31" s="6"/>
      <c r="B31" s="896" t="s">
        <v>105</v>
      </c>
      <c r="C31" s="1513">
        <v>2</v>
      </c>
      <c r="D31" s="1514">
        <v>2</v>
      </c>
      <c r="E31" s="1515"/>
      <c r="F31" s="1516">
        <v>2</v>
      </c>
      <c r="G31" s="1517"/>
      <c r="H31" s="1518">
        <v>2</v>
      </c>
      <c r="I31" s="1519">
        <v>1</v>
      </c>
      <c r="J31" s="1520">
        <v>2</v>
      </c>
      <c r="K31" s="1521">
        <v>2</v>
      </c>
      <c r="L31" s="1531"/>
      <c r="M31" s="897" t="s">
        <v>105</v>
      </c>
      <c r="N31" s="301"/>
      <c r="O31" s="1411"/>
      <c r="P31" s="1411"/>
    </row>
    <row r="32" spans="1:16" ht="16" customHeight="1" x14ac:dyDescent="0.15">
      <c r="A32" s="6"/>
      <c r="B32" s="894" t="s">
        <v>106</v>
      </c>
      <c r="C32" s="1513"/>
      <c r="D32" s="1514"/>
      <c r="E32" s="1515"/>
      <c r="F32" s="1516"/>
      <c r="G32" s="1517"/>
      <c r="H32" s="1518">
        <v>1</v>
      </c>
      <c r="I32" s="1519">
        <v>1</v>
      </c>
      <c r="J32" s="1520"/>
      <c r="K32" s="1521">
        <v>1</v>
      </c>
      <c r="L32" s="1531">
        <v>1</v>
      </c>
      <c r="M32" s="895" t="s">
        <v>106</v>
      </c>
      <c r="N32" s="301"/>
      <c r="O32" s="1411"/>
      <c r="P32" s="1411"/>
    </row>
    <row r="33" spans="1:16" ht="16" customHeight="1" x14ac:dyDescent="0.15">
      <c r="A33" s="6"/>
      <c r="B33" s="896" t="s">
        <v>107</v>
      </c>
      <c r="C33" s="1513"/>
      <c r="D33" s="1514"/>
      <c r="E33" s="1515">
        <v>1</v>
      </c>
      <c r="F33" s="1516"/>
      <c r="G33" s="1517">
        <v>1</v>
      </c>
      <c r="H33" s="1518"/>
      <c r="I33" s="1519"/>
      <c r="J33" s="1520">
        <v>1</v>
      </c>
      <c r="K33" s="1521">
        <v>1</v>
      </c>
      <c r="L33" s="1531">
        <v>1</v>
      </c>
      <c r="M33" s="897" t="s">
        <v>107</v>
      </c>
      <c r="N33" s="301"/>
      <c r="O33" s="1411"/>
      <c r="P33" s="1411"/>
    </row>
    <row r="34" spans="1:16" ht="16" customHeight="1" x14ac:dyDescent="0.15">
      <c r="A34" s="6"/>
      <c r="B34" s="894" t="s">
        <v>113</v>
      </c>
      <c r="C34" s="1513"/>
      <c r="D34" s="1514"/>
      <c r="E34" s="1515"/>
      <c r="F34" s="1516"/>
      <c r="G34" s="1517">
        <v>2</v>
      </c>
      <c r="H34" s="1518">
        <v>1</v>
      </c>
      <c r="I34" s="1519"/>
      <c r="J34" s="1520">
        <v>1</v>
      </c>
      <c r="K34" s="1521">
        <v>1</v>
      </c>
      <c r="L34" s="1531">
        <v>1</v>
      </c>
      <c r="M34" s="895" t="s">
        <v>113</v>
      </c>
      <c r="N34" s="301"/>
      <c r="O34" s="1411"/>
      <c r="P34" s="1411"/>
    </row>
    <row r="35" spans="1:16" ht="16" customHeight="1" x14ac:dyDescent="0.15">
      <c r="A35" s="6"/>
      <c r="B35" s="898" t="s">
        <v>72</v>
      </c>
      <c r="C35" s="1513"/>
      <c r="D35" s="1514"/>
      <c r="E35" s="1515"/>
      <c r="F35" s="1516"/>
      <c r="G35" s="1517"/>
      <c r="H35" s="1518"/>
      <c r="I35" s="1519"/>
      <c r="J35" s="1520"/>
      <c r="K35" s="1521"/>
      <c r="L35" s="1531"/>
      <c r="M35" s="899" t="s">
        <v>72</v>
      </c>
      <c r="N35" s="301"/>
      <c r="O35" s="1411"/>
      <c r="P35" s="1411"/>
    </row>
    <row r="36" spans="1:16" ht="16" customHeight="1" x14ac:dyDescent="0.15">
      <c r="A36" s="6"/>
      <c r="B36" s="2823" t="s">
        <v>404</v>
      </c>
      <c r="C36" s="2824"/>
      <c r="D36" s="2824"/>
      <c r="E36" s="2824"/>
      <c r="F36" s="2824"/>
      <c r="G36" s="2824"/>
      <c r="H36" s="2824"/>
      <c r="I36" s="2824"/>
      <c r="J36" s="2824"/>
      <c r="K36" s="2824"/>
      <c r="L36" s="2824"/>
      <c r="M36" s="2850"/>
      <c r="N36" s="301"/>
      <c r="O36" s="1411"/>
      <c r="P36" s="1411"/>
    </row>
    <row r="37" spans="1:16" ht="16" customHeight="1" x14ac:dyDescent="0.15">
      <c r="A37" s="6"/>
      <c r="B37" s="835" t="s">
        <v>243</v>
      </c>
      <c r="C37" s="1484">
        <v>4</v>
      </c>
      <c r="D37" s="447">
        <v>2</v>
      </c>
      <c r="E37" s="1491">
        <v>10</v>
      </c>
      <c r="F37" s="536">
        <v>3</v>
      </c>
      <c r="G37" s="737">
        <v>7</v>
      </c>
      <c r="H37" s="1482">
        <v>8</v>
      </c>
      <c r="I37" s="497">
        <v>9</v>
      </c>
      <c r="J37" s="1480">
        <v>6</v>
      </c>
      <c r="K37" s="504">
        <v>5</v>
      </c>
      <c r="L37" s="101">
        <v>1</v>
      </c>
      <c r="M37" s="844" t="s">
        <v>243</v>
      </c>
      <c r="N37" s="301"/>
      <c r="O37" s="1411"/>
      <c r="P37" s="1411"/>
    </row>
    <row r="38" spans="1:16" ht="16" customHeight="1" x14ac:dyDescent="0.15">
      <c r="A38" s="6"/>
      <c r="B38" s="835" t="s">
        <v>244</v>
      </c>
      <c r="C38" s="2429">
        <f t="shared" ref="C38:L38" si="4">RANK(C8,$C$8:$L$8,0)</f>
        <v>5</v>
      </c>
      <c r="D38" s="525">
        <f t="shared" si="4"/>
        <v>2</v>
      </c>
      <c r="E38" s="2430">
        <f t="shared" si="4"/>
        <v>4</v>
      </c>
      <c r="F38" s="657">
        <f t="shared" si="4"/>
        <v>3</v>
      </c>
      <c r="G38" s="517">
        <f t="shared" si="4"/>
        <v>7</v>
      </c>
      <c r="H38" s="2431">
        <f t="shared" si="4"/>
        <v>10</v>
      </c>
      <c r="I38" s="507">
        <f t="shared" si="4"/>
        <v>9</v>
      </c>
      <c r="J38" s="2432">
        <f t="shared" si="4"/>
        <v>8</v>
      </c>
      <c r="K38" s="531">
        <f t="shared" si="4"/>
        <v>6</v>
      </c>
      <c r="L38" s="2433">
        <f t="shared" si="4"/>
        <v>1</v>
      </c>
      <c r="M38" s="844" t="s">
        <v>244</v>
      </c>
      <c r="N38" s="301"/>
      <c r="O38" s="1411"/>
      <c r="P38" s="1411"/>
    </row>
    <row r="39" spans="1:16" ht="16" customHeight="1" x14ac:dyDescent="0.15">
      <c r="A39" s="6"/>
      <c r="B39" s="835" t="s">
        <v>226</v>
      </c>
      <c r="C39" s="1412">
        <f t="shared" ref="C39:L39" si="5">RANK(C17,$C$17:$L$17,1)</f>
        <v>7</v>
      </c>
      <c r="D39" s="541">
        <f t="shared" si="5"/>
        <v>8</v>
      </c>
      <c r="E39" s="1413">
        <f t="shared" si="5"/>
        <v>10</v>
      </c>
      <c r="F39" s="638">
        <f t="shared" si="5"/>
        <v>6</v>
      </c>
      <c r="G39" s="22">
        <f t="shared" si="5"/>
        <v>1</v>
      </c>
      <c r="H39" s="1414">
        <f t="shared" si="5"/>
        <v>3</v>
      </c>
      <c r="I39" s="407">
        <f t="shared" si="5"/>
        <v>9</v>
      </c>
      <c r="J39" s="1479">
        <f t="shared" si="5"/>
        <v>5</v>
      </c>
      <c r="K39" s="1415">
        <f t="shared" si="5"/>
        <v>4</v>
      </c>
      <c r="L39" s="1399">
        <f t="shared" si="5"/>
        <v>2</v>
      </c>
      <c r="M39" s="844" t="s">
        <v>226</v>
      </c>
      <c r="N39" s="301"/>
      <c r="O39" s="1411"/>
      <c r="P39" s="1411"/>
    </row>
    <row r="40" spans="1:16" ht="16" customHeight="1" x14ac:dyDescent="0.15">
      <c r="A40" s="6"/>
      <c r="B40" s="835" t="s">
        <v>245</v>
      </c>
      <c r="C40" s="1485">
        <f t="shared" ref="C40:L40" si="6">RANK(C22,$C$22:$L$22,1)</f>
        <v>9</v>
      </c>
      <c r="D40" s="731">
        <f t="shared" si="6"/>
        <v>1</v>
      </c>
      <c r="E40" s="1496">
        <f t="shared" si="6"/>
        <v>2</v>
      </c>
      <c r="F40" s="697">
        <f t="shared" si="6"/>
        <v>10</v>
      </c>
      <c r="G40" s="722">
        <f t="shared" si="6"/>
        <v>4</v>
      </c>
      <c r="H40" s="1483">
        <f t="shared" si="6"/>
        <v>3</v>
      </c>
      <c r="I40" s="655">
        <f t="shared" si="6"/>
        <v>7</v>
      </c>
      <c r="J40" s="1481">
        <f t="shared" si="6"/>
        <v>8</v>
      </c>
      <c r="K40" s="711">
        <f t="shared" si="6"/>
        <v>5</v>
      </c>
      <c r="L40" s="1532">
        <f t="shared" si="6"/>
        <v>6</v>
      </c>
      <c r="M40" s="844" t="s">
        <v>245</v>
      </c>
      <c r="N40" s="301"/>
      <c r="O40" s="1411"/>
      <c r="P40" s="1411"/>
    </row>
    <row r="41" spans="1:16" ht="16" customHeight="1" x14ac:dyDescent="0.15">
      <c r="A41" s="6"/>
      <c r="B41" s="835" t="s">
        <v>237</v>
      </c>
      <c r="C41" s="1412">
        <f t="shared" ref="C41:L41" si="7">RANK(C27,$C$27:$L$27,0)</f>
        <v>4</v>
      </c>
      <c r="D41" s="541">
        <f t="shared" si="7"/>
        <v>3</v>
      </c>
      <c r="E41" s="1413">
        <f t="shared" si="7"/>
        <v>2</v>
      </c>
      <c r="F41" s="638">
        <f t="shared" si="7"/>
        <v>5</v>
      </c>
      <c r="G41" s="22">
        <f t="shared" si="7"/>
        <v>6</v>
      </c>
      <c r="H41" s="1414">
        <f t="shared" si="7"/>
        <v>10</v>
      </c>
      <c r="I41" s="407">
        <f t="shared" si="7"/>
        <v>7</v>
      </c>
      <c r="J41" s="1479">
        <f t="shared" si="7"/>
        <v>9</v>
      </c>
      <c r="K41" s="1415">
        <f t="shared" si="7"/>
        <v>8</v>
      </c>
      <c r="L41" s="1399">
        <f t="shared" si="7"/>
        <v>1</v>
      </c>
      <c r="M41" s="844" t="s">
        <v>237</v>
      </c>
      <c r="N41" s="301"/>
      <c r="O41" s="1411"/>
      <c r="P41" s="1411"/>
    </row>
    <row r="42" spans="1:16" ht="16" customHeight="1" x14ac:dyDescent="0.15">
      <c r="A42" s="6"/>
      <c r="B42" s="835"/>
      <c r="C42" s="1486"/>
      <c r="D42" s="901"/>
      <c r="E42" s="1497"/>
      <c r="F42" s="902"/>
      <c r="G42" s="903"/>
      <c r="H42" s="904"/>
      <c r="I42" s="905"/>
      <c r="J42" s="906"/>
      <c r="K42" s="1530"/>
      <c r="L42" s="1533"/>
      <c r="M42" s="844"/>
      <c r="N42" s="301"/>
      <c r="O42" s="1411"/>
      <c r="P42" s="1411"/>
    </row>
    <row r="43" spans="1:16" ht="30" customHeight="1" x14ac:dyDescent="0.15">
      <c r="A43" s="6"/>
      <c r="B43" s="813"/>
      <c r="C43" s="30" t="s">
        <v>9</v>
      </c>
      <c r="D43" s="31" t="s">
        <v>10</v>
      </c>
      <c r="E43" s="32" t="s">
        <v>11</v>
      </c>
      <c r="F43" s="814" t="s">
        <v>12</v>
      </c>
      <c r="G43" s="34" t="s">
        <v>13</v>
      </c>
      <c r="H43" s="35" t="s">
        <v>14</v>
      </c>
      <c r="I43" s="815" t="s">
        <v>15</v>
      </c>
      <c r="J43" s="37" t="s">
        <v>16</v>
      </c>
      <c r="K43" s="1522" t="s">
        <v>17</v>
      </c>
      <c r="L43" s="1534" t="s">
        <v>18</v>
      </c>
      <c r="M43" s="816"/>
      <c r="N43" s="301"/>
      <c r="O43" s="1411"/>
      <c r="P43" s="1411"/>
    </row>
    <row r="44" spans="1:16" ht="14" customHeight="1" x14ac:dyDescent="0.15">
      <c r="A44" s="6"/>
      <c r="B44" s="2848" t="s">
        <v>211</v>
      </c>
      <c r="C44" s="2849"/>
      <c r="D44" s="2849"/>
      <c r="E44" s="2849"/>
      <c r="F44" s="2849"/>
      <c r="G44" s="2849"/>
      <c r="H44" s="2849"/>
      <c r="I44" s="2849"/>
      <c r="J44" s="2849"/>
      <c r="K44" s="2849"/>
      <c r="L44" s="2849"/>
      <c r="M44" s="2849"/>
      <c r="N44" s="301"/>
      <c r="O44" s="1411"/>
      <c r="P44" s="1411"/>
    </row>
    <row r="45" spans="1:16" ht="13.75" customHeight="1" x14ac:dyDescent="0.15">
      <c r="A45" s="13"/>
      <c r="B45" s="485"/>
      <c r="C45" s="485"/>
      <c r="D45" s="485"/>
      <c r="E45" s="485"/>
      <c r="F45" s="485"/>
      <c r="G45" s="485"/>
      <c r="H45" s="485"/>
      <c r="I45" s="485"/>
      <c r="J45" s="485"/>
      <c r="K45" s="485"/>
      <c r="L45" s="485"/>
      <c r="M45" s="485"/>
      <c r="N45" s="281"/>
      <c r="O45" s="1411"/>
      <c r="P45" s="1411"/>
    </row>
    <row r="46" spans="1:16" ht="13.75" customHeight="1" x14ac:dyDescent="0.15">
      <c r="A46" s="13"/>
      <c r="B46" s="281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1411"/>
      <c r="P46" s="1411"/>
    </row>
    <row r="47" spans="1:16" ht="13.75" customHeight="1" x14ac:dyDescent="0.15">
      <c r="A47" s="13"/>
      <c r="B47" s="281"/>
      <c r="C47" s="281"/>
      <c r="D47" s="281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1411"/>
      <c r="P47" s="1411"/>
    </row>
    <row r="48" spans="1:16" ht="13.75" customHeight="1" x14ac:dyDescent="0.15">
      <c r="A48" s="13"/>
      <c r="B48" s="40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1411"/>
      <c r="P48" s="1411"/>
    </row>
    <row r="49" spans="1:16" ht="13.75" customHeight="1" x14ac:dyDescent="0.15">
      <c r="A49" s="13"/>
      <c r="B49" s="40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1411"/>
      <c r="P49" s="1411"/>
    </row>
    <row r="50" spans="1:16" ht="13.75" customHeight="1" x14ac:dyDescent="0.15">
      <c r="A50" s="13"/>
      <c r="B50" s="40"/>
      <c r="C50" s="281"/>
      <c r="D50" s="281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1411"/>
      <c r="P50" s="1411"/>
    </row>
    <row r="51" spans="1:16" ht="13.75" customHeight="1" x14ac:dyDescent="0.15">
      <c r="A51" s="13"/>
      <c r="B51" s="40"/>
      <c r="C51" s="281"/>
      <c r="D51" s="281"/>
      <c r="E51" s="281"/>
      <c r="F51" s="281"/>
      <c r="G51" s="281"/>
      <c r="H51" s="281"/>
      <c r="I51" s="281"/>
      <c r="J51" s="281"/>
      <c r="K51" s="281"/>
      <c r="L51" s="281"/>
      <c r="M51" s="281"/>
      <c r="N51" s="281"/>
      <c r="O51" s="1411"/>
      <c r="P51" s="1411"/>
    </row>
    <row r="52" spans="1:16" ht="13.75" customHeight="1" x14ac:dyDescent="0.15">
      <c r="A52" s="13"/>
      <c r="B52" s="40"/>
      <c r="C52" s="281"/>
      <c r="D52" s="281"/>
      <c r="E52" s="281"/>
      <c r="F52" s="281"/>
      <c r="G52" s="281"/>
      <c r="H52" s="281"/>
      <c r="I52" s="281" t="s">
        <v>185</v>
      </c>
      <c r="J52" s="281"/>
      <c r="K52" s="281"/>
      <c r="L52" s="281"/>
      <c r="M52" s="281"/>
      <c r="N52" s="281"/>
      <c r="O52" s="1411"/>
      <c r="P52" s="1411"/>
    </row>
    <row r="53" spans="1:16" ht="13.75" customHeight="1" x14ac:dyDescent="0.15">
      <c r="A53" s="13"/>
      <c r="B53" s="40"/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1411"/>
      <c r="P53" s="1411"/>
    </row>
    <row r="54" spans="1:16" ht="13.75" customHeight="1" x14ac:dyDescent="0.15">
      <c r="A54" s="13"/>
      <c r="B54" s="40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1411"/>
      <c r="P54" s="1411"/>
    </row>
    <row r="55" spans="1:16" ht="13" customHeight="1" x14ac:dyDescent="0.15">
      <c r="A55" s="1194"/>
      <c r="B55" s="1194"/>
      <c r="C55" s="1194"/>
      <c r="D55" s="1194"/>
      <c r="E55" s="1194"/>
      <c r="F55" s="1194"/>
      <c r="G55" s="1194"/>
      <c r="H55" s="1194"/>
      <c r="I55" s="1194"/>
      <c r="J55" s="1194"/>
      <c r="K55" s="1194"/>
      <c r="L55" s="1194"/>
      <c r="M55" s="1194"/>
      <c r="N55" s="1194"/>
      <c r="O55" s="1411"/>
      <c r="P55" s="1411"/>
    </row>
    <row r="56" spans="1:16" ht="13" customHeight="1" x14ac:dyDescent="0.15">
      <c r="A56" s="1194"/>
      <c r="B56" s="1194"/>
      <c r="C56" s="1194"/>
      <c r="D56" s="1194"/>
      <c r="E56" s="1194"/>
      <c r="F56" s="1194"/>
      <c r="G56" s="1194"/>
      <c r="H56" s="1194"/>
      <c r="I56" s="1194"/>
      <c r="J56" s="1194"/>
      <c r="K56" s="1194"/>
      <c r="L56" s="1194"/>
      <c r="M56" s="1194"/>
      <c r="N56" s="1194"/>
    </row>
  </sheetData>
  <mergeCells count="3">
    <mergeCell ref="B44:M44"/>
    <mergeCell ref="B36:M36"/>
    <mergeCell ref="B2:M2"/>
  </mergeCells>
  <pageMargins left="0.74791700000000005" right="0.74791700000000005" top="0.98402800000000001" bottom="0.98402800000000001" header="0.51180599999999998" footer="0.51180599999999998"/>
  <pageSetup orientation="portrait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topLeftCell="A2" zoomScale="145" zoomScaleNormal="145" workbookViewId="0">
      <selection activeCell="L16" sqref="L16"/>
    </sheetView>
  </sheetViews>
  <sheetFormatPr baseColWidth="10" defaultColWidth="8.83203125" defaultRowHeight="13" customHeight="1" x14ac:dyDescent="0.15"/>
  <cols>
    <col min="1" max="1" width="8.83203125" style="907" customWidth="1"/>
    <col min="2" max="2" width="10" style="907" customWidth="1"/>
    <col min="3" max="3" width="12.1640625" style="907" customWidth="1"/>
    <col min="4" max="4" width="16.5" style="907" customWidth="1"/>
    <col min="5" max="5" width="11.33203125" style="907" customWidth="1"/>
    <col min="6" max="6" width="17.5" style="907" customWidth="1"/>
    <col min="7" max="7" width="13.5" style="907" customWidth="1"/>
    <col min="8" max="8" width="11.33203125" style="907" customWidth="1"/>
    <col min="9" max="9" width="16.5" style="907" customWidth="1"/>
    <col min="10" max="10" width="11.33203125" style="907" customWidth="1"/>
    <col min="11" max="11" width="15.5" style="907" customWidth="1"/>
    <col min="12" max="12" width="11.33203125" style="907" customWidth="1"/>
    <col min="13" max="13" width="9.1640625" style="907" customWidth="1"/>
    <col min="14" max="15" width="8.83203125" style="907" customWidth="1"/>
    <col min="16" max="256" width="8.83203125" customWidth="1"/>
  </cols>
  <sheetData>
    <row r="1" spans="1:15" ht="13.75" customHeight="1" x14ac:dyDescent="0.15">
      <c r="A1" s="2"/>
      <c r="B1" s="811"/>
      <c r="C1" s="811"/>
      <c r="D1" s="811"/>
      <c r="E1" s="811"/>
      <c r="F1" s="811"/>
      <c r="G1" s="811"/>
      <c r="H1" s="811"/>
      <c r="I1" s="811"/>
      <c r="J1" s="811"/>
      <c r="K1" s="811"/>
      <c r="L1" s="811"/>
      <c r="M1" s="811"/>
      <c r="N1" s="262"/>
      <c r="O1" s="277"/>
    </row>
    <row r="2" spans="1:15" ht="14" customHeight="1" x14ac:dyDescent="0.15">
      <c r="A2" s="6"/>
      <c r="B2" s="2851" t="s">
        <v>247</v>
      </c>
      <c r="C2" s="2852"/>
      <c r="D2" s="2852"/>
      <c r="E2" s="2852"/>
      <c r="F2" s="2852"/>
      <c r="G2" s="2852"/>
      <c r="H2" s="2852"/>
      <c r="I2" s="2852"/>
      <c r="J2" s="2852"/>
      <c r="K2" s="2852"/>
      <c r="L2" s="2852"/>
      <c r="M2" s="2852"/>
      <c r="N2" s="301"/>
      <c r="O2" s="282"/>
    </row>
    <row r="3" spans="1:15" ht="29" customHeight="1" x14ac:dyDescent="0.15">
      <c r="A3" s="6"/>
      <c r="B3" s="301"/>
      <c r="C3" s="30" t="s">
        <v>9</v>
      </c>
      <c r="D3" s="31" t="s">
        <v>10</v>
      </c>
      <c r="E3" s="32" t="s">
        <v>11</v>
      </c>
      <c r="F3" s="908" t="s">
        <v>23</v>
      </c>
      <c r="G3" s="34" t="s">
        <v>13</v>
      </c>
      <c r="H3" s="909" t="s">
        <v>14</v>
      </c>
      <c r="I3" s="815" t="s">
        <v>15</v>
      </c>
      <c r="J3" s="37" t="s">
        <v>16</v>
      </c>
      <c r="K3" s="38" t="s">
        <v>17</v>
      </c>
      <c r="L3" s="39" t="s">
        <v>18</v>
      </c>
      <c r="M3" s="816"/>
      <c r="N3" s="301"/>
      <c r="O3" s="282"/>
    </row>
    <row r="4" spans="1:15" ht="18" customHeight="1" x14ac:dyDescent="0.15">
      <c r="A4" s="6"/>
      <c r="B4" s="817" t="s">
        <v>212</v>
      </c>
      <c r="C4" s="845">
        <v>0.01</v>
      </c>
      <c r="D4" s="447">
        <v>0.06</v>
      </c>
      <c r="E4" s="846">
        <v>0.82</v>
      </c>
      <c r="F4" s="910">
        <v>330000</v>
      </c>
      <c r="G4" s="737">
        <v>0.11</v>
      </c>
      <c r="H4" s="516">
        <v>317.89</v>
      </c>
      <c r="I4" s="497">
        <v>95.17</v>
      </c>
      <c r="J4" s="529">
        <v>14.56</v>
      </c>
      <c r="K4" s="848">
        <v>17.239999999999998</v>
      </c>
      <c r="L4" s="826">
        <v>2.5999999999999999E-3</v>
      </c>
      <c r="M4" s="827" t="s">
        <v>212</v>
      </c>
      <c r="N4" s="301"/>
      <c r="O4" s="282"/>
    </row>
    <row r="5" spans="1:15" ht="18" customHeight="1" x14ac:dyDescent="0.15">
      <c r="A5" s="6"/>
      <c r="B5" s="817" t="s">
        <v>248</v>
      </c>
      <c r="C5" s="911">
        <f>Données!C17</f>
        <v>109.75801127905299</v>
      </c>
      <c r="D5" s="912">
        <f>Données!C18</f>
        <v>224.7261263922</v>
      </c>
      <c r="E5" s="913">
        <f>Données!C19</f>
        <v>205.388650138771</v>
      </c>
      <c r="F5" s="914">
        <f>Données!C20</f>
        <v>222.98508614232799</v>
      </c>
      <c r="G5" s="915">
        <f>Données!C21</f>
        <v>237.268076270542</v>
      </c>
      <c r="H5" s="916">
        <f>Données!C22</f>
        <v>208.95107394164501</v>
      </c>
      <c r="I5" s="917">
        <f>Données!C23</f>
        <v>323.69285293482699</v>
      </c>
      <c r="J5" s="918">
        <f>Données!C24</f>
        <v>288.86595003779098</v>
      </c>
      <c r="K5" s="919">
        <f>Données!C25</f>
        <v>288.74017110305999</v>
      </c>
      <c r="L5" s="920">
        <f>Données!C26</f>
        <v>234.940265098297</v>
      </c>
      <c r="M5" s="827" t="s">
        <v>249</v>
      </c>
      <c r="N5" s="301"/>
      <c r="O5" s="282"/>
    </row>
    <row r="6" spans="1:15" ht="18" customHeight="1" x14ac:dyDescent="0.15">
      <c r="A6" s="6"/>
      <c r="B6" s="835" t="s">
        <v>2</v>
      </c>
      <c r="C6" s="991">
        <f>Données!D17</f>
        <v>122.94643170489201</v>
      </c>
      <c r="D6" s="941">
        <f>Données!D18</f>
        <v>223.410727433494</v>
      </c>
      <c r="E6" s="942">
        <f>Données!D19</f>
        <v>206.639048765078</v>
      </c>
      <c r="F6" s="943">
        <f>Données!D20</f>
        <v>223.987967215048</v>
      </c>
      <c r="G6" s="944">
        <f>Données!D21</f>
        <v>237.981466910791</v>
      </c>
      <c r="H6" s="945">
        <f>Données!D22</f>
        <v>209.16530536449901</v>
      </c>
      <c r="I6" s="946">
        <f>Données!D23</f>
        <v>323.70800388830497</v>
      </c>
      <c r="J6" s="1624">
        <f>Données!D24</f>
        <v>288.89830673712299</v>
      </c>
      <c r="K6" s="948">
        <f>Données!D25</f>
        <v>288.76008787393403</v>
      </c>
      <c r="L6" s="949">
        <f>Données!D26</f>
        <v>234.97975508459601</v>
      </c>
      <c r="M6" s="844" t="s">
        <v>2</v>
      </c>
      <c r="N6" s="301"/>
      <c r="O6" s="282"/>
    </row>
    <row r="7" spans="1:15" ht="18" customHeight="1" x14ac:dyDescent="0.15">
      <c r="A7" s="6"/>
      <c r="B7" s="835" t="s">
        <v>250</v>
      </c>
      <c r="C7" s="993">
        <f>C6-C5</f>
        <v>13.188420425839013</v>
      </c>
      <c r="D7" s="2552">
        <f>D5-D6</f>
        <v>1.3153989587059982</v>
      </c>
      <c r="E7" s="994">
        <f t="shared" ref="E7:L7" si="0">E6-E5</f>
        <v>1.2503986263070033</v>
      </c>
      <c r="F7" s="995">
        <f t="shared" si="0"/>
        <v>1.0028810727200153</v>
      </c>
      <c r="G7" s="996">
        <f t="shared" si="0"/>
        <v>0.71339064024900267</v>
      </c>
      <c r="H7" s="1617">
        <f t="shared" si="0"/>
        <v>0.21423142285399877</v>
      </c>
      <c r="I7" s="705">
        <f t="shared" si="0"/>
        <v>1.5150953477984785E-2</v>
      </c>
      <c r="J7" s="1618">
        <f t="shared" si="0"/>
        <v>3.2356699332012795E-2</v>
      </c>
      <c r="K7" s="1619">
        <f t="shared" si="0"/>
        <v>1.9916770874033318E-2</v>
      </c>
      <c r="L7" s="2012">
        <f t="shared" si="0"/>
        <v>3.9489986299003021E-2</v>
      </c>
      <c r="M7" s="844" t="s">
        <v>251</v>
      </c>
      <c r="N7" s="301"/>
      <c r="O7" s="921"/>
    </row>
    <row r="8" spans="1:15" ht="18" customHeight="1" x14ac:dyDescent="0.15">
      <c r="A8" s="6"/>
      <c r="B8" s="835" t="s">
        <v>217</v>
      </c>
      <c r="C8" s="369">
        <f>((C7-PQG!C5)/(PQG!C6-PQG!C5))/10</f>
        <v>5.3140340430649768</v>
      </c>
      <c r="D8" s="314">
        <f>((D7-PQG!D5)/(PQG!D6-PQG!D5))/10</f>
        <v>6.0709787174320322</v>
      </c>
      <c r="E8" s="546">
        <f>((E7-PQG!E5)/(PQG!E6-PQG!E5))/10</f>
        <v>9.8713083311518375</v>
      </c>
      <c r="F8" s="434">
        <f>((F7-PQG!F5)/(PQG!F6-PQG!F5))/10</f>
        <v>7.9698715146679691</v>
      </c>
      <c r="G8" s="502">
        <f>((G7-PQG!G5)/(PQG!G6-PQG!G5))/10</f>
        <v>8.9173830031125334</v>
      </c>
      <c r="H8" s="365">
        <f>((H7-PQG!H5)/(PQG!H6-PQG!H5))/10</f>
        <v>9.0507571970426177</v>
      </c>
      <c r="I8" s="309">
        <f>((I7-PQG!I5)/(PQG!I6-PQG!I5))/10</f>
        <v>1.1504140833701431</v>
      </c>
      <c r="J8" s="438">
        <f>((J7-PQG!J5)/(PQG!J6-PQG!J5))/10</f>
        <v>5.1116428644569982</v>
      </c>
      <c r="K8" s="514">
        <f>((K7-PQG!K5)/(PQG!K6-PQG!K5))/10</f>
        <v>5.2002012725935556</v>
      </c>
      <c r="L8" s="345">
        <f>((L7-PQG!L5)/(PQG!L6-PQG!L5))/10</f>
        <v>9.8724965747507554</v>
      </c>
      <c r="M8" s="844" t="s">
        <v>217</v>
      </c>
      <c r="N8" s="301"/>
      <c r="O8" s="921"/>
    </row>
    <row r="9" spans="1:15" ht="18" customHeight="1" x14ac:dyDescent="0.15">
      <c r="A9" s="6"/>
      <c r="B9" s="850"/>
      <c r="C9" s="2013" t="s">
        <v>252</v>
      </c>
      <c r="D9" s="2014">
        <f>SUM(C7:L7)</f>
        <v>17.791635556658065</v>
      </c>
      <c r="E9" s="2014"/>
      <c r="F9" s="2013" t="s">
        <v>253</v>
      </c>
      <c r="G9" s="2015">
        <f>((D9-PQG!N5)/(PQG!N6-PQG!N5))/10</f>
        <v>6.052655312479696</v>
      </c>
      <c r="H9" s="520"/>
      <c r="I9" s="309"/>
      <c r="J9" s="438"/>
      <c r="K9" s="514"/>
      <c r="L9" s="345"/>
      <c r="M9" s="851"/>
      <c r="N9" s="922"/>
      <c r="O9" s="921"/>
    </row>
    <row r="10" spans="1:15" ht="18" hidden="1" customHeight="1" x14ac:dyDescent="0.15">
      <c r="A10" s="6"/>
      <c r="B10" s="817" t="s">
        <v>254</v>
      </c>
      <c r="C10" s="923"/>
      <c r="D10" s="852"/>
      <c r="E10" s="853"/>
      <c r="F10" s="924"/>
      <c r="G10" s="17"/>
      <c r="H10" s="925"/>
      <c r="I10" s="856"/>
      <c r="J10" s="857"/>
      <c r="K10" s="858"/>
      <c r="L10" s="859"/>
      <c r="M10" s="827" t="s">
        <v>254</v>
      </c>
      <c r="N10" s="926"/>
      <c r="O10" s="927"/>
    </row>
    <row r="11" spans="1:15" ht="18" customHeight="1" x14ac:dyDescent="0.15">
      <c r="A11" s="6"/>
      <c r="B11" s="835" t="s">
        <v>4</v>
      </c>
      <c r="C11" s="928"/>
      <c r="D11" s="860"/>
      <c r="E11" s="861"/>
      <c r="F11" s="929"/>
      <c r="G11" s="863"/>
      <c r="H11" s="930"/>
      <c r="I11" s="865"/>
      <c r="J11" s="931"/>
      <c r="K11" s="866"/>
      <c r="L11" s="932"/>
      <c r="M11" s="844" t="s">
        <v>4</v>
      </c>
      <c r="N11" s="922"/>
      <c r="O11" s="921"/>
    </row>
    <row r="12" spans="1:15" ht="18" hidden="1" customHeight="1" x14ac:dyDescent="0.15">
      <c r="A12" s="6"/>
      <c r="B12" s="835" t="s">
        <v>255</v>
      </c>
      <c r="C12" s="928">
        <f t="shared" ref="C12:L12" si="1">C11-C10</f>
        <v>0</v>
      </c>
      <c r="D12" s="868">
        <f t="shared" si="1"/>
        <v>0</v>
      </c>
      <c r="E12" s="861">
        <f t="shared" si="1"/>
        <v>0</v>
      </c>
      <c r="F12" s="929">
        <f t="shared" si="1"/>
        <v>0</v>
      </c>
      <c r="G12" s="863">
        <f t="shared" si="1"/>
        <v>0</v>
      </c>
      <c r="H12" s="930">
        <f t="shared" si="1"/>
        <v>0</v>
      </c>
      <c r="I12" s="865">
        <f t="shared" si="1"/>
        <v>0</v>
      </c>
      <c r="J12" s="931">
        <f t="shared" si="1"/>
        <v>0</v>
      </c>
      <c r="K12" s="866">
        <f t="shared" si="1"/>
        <v>0</v>
      </c>
      <c r="L12" s="932">
        <f t="shared" si="1"/>
        <v>0</v>
      </c>
      <c r="M12" s="844" t="s">
        <v>255</v>
      </c>
      <c r="N12" s="922"/>
      <c r="O12" s="921"/>
    </row>
    <row r="13" spans="1:15" ht="18" customHeight="1" x14ac:dyDescent="0.15">
      <c r="A13" s="6"/>
      <c r="B13" s="835" t="s">
        <v>256</v>
      </c>
      <c r="C13" s="933">
        <f>Données!J17</f>
        <v>255.952</v>
      </c>
      <c r="D13" s="934">
        <f>C13-180</f>
        <v>75.951999999999998</v>
      </c>
      <c r="E13" s="935" t="s">
        <v>257</v>
      </c>
      <c r="F13" s="934">
        <f>Données!J18</f>
        <v>189.8759</v>
      </c>
      <c r="G13" s="934">
        <f>F13-180</f>
        <v>9.8759000000000015</v>
      </c>
      <c r="H13" s="365"/>
      <c r="I13" s="309"/>
      <c r="J13" s="438"/>
      <c r="K13" s="514"/>
      <c r="L13" s="345"/>
      <c r="M13" s="844" t="s">
        <v>258</v>
      </c>
      <c r="N13" s="301"/>
      <c r="O13" s="282"/>
    </row>
    <row r="14" spans="1:15" ht="18" customHeight="1" x14ac:dyDescent="0.15">
      <c r="A14" s="6"/>
      <c r="B14" s="835" t="s">
        <v>259</v>
      </c>
      <c r="C14" s="2033">
        <f>C6-D13</f>
        <v>46.994431704892008</v>
      </c>
      <c r="D14" s="2553">
        <f>D6-F13</f>
        <v>33.534827433494002</v>
      </c>
      <c r="E14" s="2554">
        <f>E6-F13</f>
        <v>16.763148765078</v>
      </c>
      <c r="F14" s="2556">
        <f>F6-F13</f>
        <v>34.112067215048</v>
      </c>
      <c r="G14" s="2557">
        <f>C13-G6</f>
        <v>17.970533089208999</v>
      </c>
      <c r="H14" s="2555">
        <f>H6-F13</f>
        <v>19.289405364499004</v>
      </c>
      <c r="I14" s="2034">
        <f>G13+360-I6</f>
        <v>46.167896111695029</v>
      </c>
      <c r="J14" s="2559">
        <f>J6-C13</f>
        <v>32.946306737122995</v>
      </c>
      <c r="K14" s="2560">
        <f>K6-C13</f>
        <v>32.808087873934028</v>
      </c>
      <c r="L14" s="2558">
        <f>C13-L6</f>
        <v>20.972244915403991</v>
      </c>
      <c r="M14" s="844" t="s">
        <v>260</v>
      </c>
      <c r="N14" s="301"/>
      <c r="O14" s="282"/>
    </row>
    <row r="15" spans="1:15" ht="18" customHeight="1" x14ac:dyDescent="0.15">
      <c r="A15" s="6"/>
      <c r="B15" s="936" t="s">
        <v>261</v>
      </c>
      <c r="C15" s="937" t="s">
        <v>262</v>
      </c>
      <c r="D15" s="938">
        <f>Données!J25</f>
        <v>243.143486846744</v>
      </c>
      <c r="E15" s="937" t="s">
        <v>263</v>
      </c>
      <c r="F15" s="938">
        <f>D15-180</f>
        <v>63.143486846743997</v>
      </c>
      <c r="G15" s="939"/>
      <c r="H15" s="933" t="s">
        <v>264</v>
      </c>
      <c r="I15" s="938">
        <f>D15+90</f>
        <v>333.143486846744</v>
      </c>
      <c r="J15" s="933" t="s">
        <v>265</v>
      </c>
      <c r="K15" s="938">
        <f>F15+90</f>
        <v>153.143486846744</v>
      </c>
      <c r="L15" s="940"/>
      <c r="M15" s="851"/>
      <c r="N15" s="301"/>
      <c r="O15" s="282"/>
    </row>
    <row r="16" spans="1:15" ht="18" customHeight="1" x14ac:dyDescent="0.15">
      <c r="A16" s="6"/>
      <c r="B16" s="835" t="s">
        <v>266</v>
      </c>
      <c r="C16" s="2035">
        <f>K15-C6</f>
        <v>30.19705514185199</v>
      </c>
      <c r="D16" s="2026">
        <f>D15-D6</f>
        <v>19.732759413249994</v>
      </c>
      <c r="E16" s="2561">
        <f>D15-E6</f>
        <v>36.504438081665995</v>
      </c>
      <c r="F16" s="2562">
        <f>D15-F6</f>
        <v>19.155519631695995</v>
      </c>
      <c r="G16" s="2563">
        <f>D15-G6</f>
        <v>5.1620199359529977</v>
      </c>
      <c r="H16" s="2564">
        <f>D15-H6</f>
        <v>33.978181482244992</v>
      </c>
      <c r="I16" s="2566">
        <f>I15-I6</f>
        <v>9.4354829584390245</v>
      </c>
      <c r="J16" s="2036">
        <f>I15-J6</f>
        <v>44.245180109621003</v>
      </c>
      <c r="K16" s="2567">
        <f>I15-K6</f>
        <v>44.383398972809971</v>
      </c>
      <c r="L16" s="2565">
        <f>D15-L6</f>
        <v>8.1637317621479895</v>
      </c>
      <c r="M16" s="851"/>
      <c r="N16" s="301"/>
      <c r="O16" s="282"/>
    </row>
    <row r="17" spans="1:15" ht="18" customHeight="1" x14ac:dyDescent="0.15">
      <c r="A17" s="6"/>
      <c r="B17" s="835" t="s">
        <v>267</v>
      </c>
      <c r="C17" s="724">
        <f>Données!H17</f>
        <v>2.5480727690000001E-3</v>
      </c>
      <c r="D17" s="447">
        <f>Données!H18</f>
        <v>0.675486180514</v>
      </c>
      <c r="E17" s="846">
        <f>Données!H19</f>
        <v>1.6020612870549999</v>
      </c>
      <c r="F17" s="536">
        <f>Données!H20</f>
        <v>0.99113270101600004</v>
      </c>
      <c r="G17" s="737">
        <f>Données!H21</f>
        <v>2.450115016671</v>
      </c>
      <c r="H17" s="516">
        <f>Données!H22</f>
        <v>6.4013402316920001</v>
      </c>
      <c r="I17" s="497">
        <f>Données!H23</f>
        <v>9.5762349930700008</v>
      </c>
      <c r="J17" s="983">
        <f>Données!H24</f>
        <v>20.023713882890998</v>
      </c>
      <c r="K17" s="848">
        <f>Données!H25</f>
        <v>30.591066454444999</v>
      </c>
      <c r="L17" s="522">
        <f>Données!H26</f>
        <v>30.698397339433999</v>
      </c>
      <c r="M17" s="950"/>
      <c r="N17" s="301"/>
      <c r="O17" s="282"/>
    </row>
    <row r="18" spans="1:15" ht="18" customHeight="1" x14ac:dyDescent="0.15">
      <c r="A18" s="6"/>
      <c r="B18" s="835" t="s">
        <v>268</v>
      </c>
      <c r="C18" s="588">
        <f>$C4/$C17^2</f>
        <v>1540.1972611302065</v>
      </c>
      <c r="D18" s="541">
        <f>$D4/$D17^2</f>
        <v>0.13149774749048837</v>
      </c>
      <c r="E18" s="512">
        <f>$E4/$E17^2</f>
        <v>0.3194887721476517</v>
      </c>
      <c r="F18" s="638">
        <f>$F4/$F17^2</f>
        <v>335931.19068097876</v>
      </c>
      <c r="G18" s="22">
        <f>$G4/$G17^2</f>
        <v>1.8323977126137002E-2</v>
      </c>
      <c r="H18" s="520">
        <f>$H4/$H17^2</f>
        <v>7.7577368739193702</v>
      </c>
      <c r="I18" s="407">
        <f>$I4/$I17^2</f>
        <v>1.037792385310583</v>
      </c>
      <c r="J18" s="632">
        <f>$J4/$J17^2</f>
        <v>3.6313834745000599E-2</v>
      </c>
      <c r="K18" s="555">
        <f>$K4/$K17^2</f>
        <v>1.8422477151644075E-2</v>
      </c>
      <c r="L18" s="619">
        <f>$L4/$L17^2</f>
        <v>2.7589380064298112E-6</v>
      </c>
      <c r="M18" s="827" t="s">
        <v>235</v>
      </c>
      <c r="N18" s="301"/>
      <c r="O18" s="282"/>
    </row>
    <row r="19" spans="1:15" ht="18" customHeight="1" x14ac:dyDescent="0.15">
      <c r="A19" s="6"/>
      <c r="B19" s="835" t="s">
        <v>269</v>
      </c>
      <c r="C19" s="732">
        <f>(($C18-IGG!$C$3)/(IGG!$C$4-IGG!$C$3))/10</f>
        <v>2.0662008275565427</v>
      </c>
      <c r="D19" s="1536">
        <f>(($D18-IGG!$D$3)/(IGG!$D$4-IGG!$D$3))/10</f>
        <v>5.8191927806322328</v>
      </c>
      <c r="E19" s="1625">
        <f>(($E18-IGG!$E$3)/(IGG!$E$4-IGG!$E$3))/10</f>
        <v>4.2188101575547046E-2</v>
      </c>
      <c r="F19" s="713">
        <f>(($F18-IGG!$F$3)/(IGG!$F$4-IGG!$F$3))/10</f>
        <v>7.149777331531384</v>
      </c>
      <c r="G19" s="736">
        <f>(($G18-IGG!$G$3)/(IGG!$G$4-IGG!$G$3))/10</f>
        <v>4.2966305407365624E-2</v>
      </c>
      <c r="H19" s="1617">
        <f>(($H18-IGG!$H$3)/(IGG!$H$4-IGG!$H$3))/10</f>
        <v>0.12865566953826998</v>
      </c>
      <c r="I19" s="705">
        <f>(($I18-IGG!$I$3)/(IGG!$I$4-IGG!$I$3))/10</f>
        <v>3.6284325474230905</v>
      </c>
      <c r="J19" s="1626">
        <f>((J18-IGG!$J$3)/(IGG!$J$4-IGG!$J$3))/10</f>
        <v>2.2491386153381718</v>
      </c>
      <c r="K19" s="1627">
        <f>((K18-IGG!$K$3)/(IGG!$K$4-IGG!$K$3))/10</f>
        <v>2.7184662170651857</v>
      </c>
      <c r="L19" s="1628">
        <f>((L18-IGG!$L$3)/(IGG!$L$4-IGG!$L$3))/10</f>
        <v>5.7964600214327184</v>
      </c>
      <c r="M19" s="950"/>
      <c r="N19" s="301"/>
      <c r="O19" s="282"/>
    </row>
    <row r="20" spans="1:15" ht="18" customHeight="1" x14ac:dyDescent="0.15">
      <c r="A20" s="6"/>
      <c r="B20" s="958"/>
      <c r="C20" s="959" t="s">
        <v>270</v>
      </c>
      <c r="D20" s="1629">
        <f>SUM(C18:L18)</f>
        <v>337480.7075209358</v>
      </c>
      <c r="E20" s="960" t="s">
        <v>271</v>
      </c>
      <c r="F20" s="2016">
        <f>((D20-IGG!$N$3)/(IGG!$N$4-IGG!$N$3))/10</f>
        <v>6.9372359899473377</v>
      </c>
      <c r="G20" s="961"/>
      <c r="H20" s="962"/>
      <c r="I20" s="963"/>
      <c r="J20" s="964"/>
      <c r="K20" s="965"/>
      <c r="L20" s="966"/>
      <c r="M20" s="967" t="s">
        <v>272</v>
      </c>
      <c r="N20" s="301"/>
      <c r="O20" s="282"/>
    </row>
    <row r="21" spans="1:15" ht="18" customHeight="1" x14ac:dyDescent="0.15">
      <c r="A21" s="6"/>
      <c r="B21" s="968" t="s">
        <v>68</v>
      </c>
      <c r="C21" s="969"/>
      <c r="D21" s="970">
        <v>5</v>
      </c>
      <c r="E21" s="971">
        <v>3</v>
      </c>
      <c r="F21" s="972">
        <v>5</v>
      </c>
      <c r="G21" s="973">
        <v>3</v>
      </c>
      <c r="H21" s="974">
        <v>3</v>
      </c>
      <c r="I21" s="975"/>
      <c r="J21" s="976">
        <v>1</v>
      </c>
      <c r="K21" s="977">
        <v>1</v>
      </c>
      <c r="L21" s="978">
        <v>3</v>
      </c>
      <c r="M21" s="893" t="s">
        <v>68</v>
      </c>
      <c r="N21" s="301"/>
      <c r="O21" s="282"/>
    </row>
    <row r="22" spans="1:15" ht="18" customHeight="1" x14ac:dyDescent="0.15">
      <c r="A22" s="6"/>
      <c r="B22" s="979" t="s">
        <v>69</v>
      </c>
      <c r="C22" s="980"/>
      <c r="D22" s="970"/>
      <c r="E22" s="971"/>
      <c r="F22" s="972"/>
      <c r="G22" s="973"/>
      <c r="H22" s="974"/>
      <c r="I22" s="975"/>
      <c r="J22" s="976"/>
      <c r="K22" s="977"/>
      <c r="L22" s="978"/>
      <c r="M22" s="895" t="s">
        <v>69</v>
      </c>
      <c r="N22" s="301"/>
      <c r="O22" s="282"/>
    </row>
    <row r="23" spans="1:15" ht="18" customHeight="1" x14ac:dyDescent="0.15">
      <c r="A23" s="6"/>
      <c r="B23" s="981" t="s">
        <v>105</v>
      </c>
      <c r="C23" s="980">
        <v>2</v>
      </c>
      <c r="D23" s="970"/>
      <c r="E23" s="971">
        <v>1</v>
      </c>
      <c r="F23" s="972"/>
      <c r="G23" s="973">
        <v>1</v>
      </c>
      <c r="H23" s="974">
        <v>1</v>
      </c>
      <c r="I23" s="975">
        <v>2</v>
      </c>
      <c r="J23" s="976"/>
      <c r="K23" s="977"/>
      <c r="L23" s="978">
        <v>1</v>
      </c>
      <c r="M23" s="897" t="s">
        <v>105</v>
      </c>
      <c r="N23" s="301"/>
      <c r="O23" s="282"/>
    </row>
    <row r="24" spans="1:15" ht="18" customHeight="1" x14ac:dyDescent="0.15">
      <c r="A24" s="6"/>
      <c r="B24" s="979" t="s">
        <v>106</v>
      </c>
      <c r="C24" s="980">
        <v>2</v>
      </c>
      <c r="D24" s="970"/>
      <c r="E24" s="971">
        <v>1</v>
      </c>
      <c r="F24" s="972"/>
      <c r="G24" s="973">
        <v>1</v>
      </c>
      <c r="H24" s="974">
        <v>1</v>
      </c>
      <c r="I24" s="975">
        <v>2</v>
      </c>
      <c r="J24" s="976"/>
      <c r="K24" s="977"/>
      <c r="L24" s="978">
        <v>1</v>
      </c>
      <c r="M24" s="895" t="s">
        <v>106</v>
      </c>
      <c r="N24" s="301"/>
      <c r="O24" s="282"/>
    </row>
    <row r="25" spans="1:15" ht="18" customHeight="1" x14ac:dyDescent="0.15">
      <c r="A25" s="6"/>
      <c r="B25" s="981" t="s">
        <v>107</v>
      </c>
      <c r="C25" s="980"/>
      <c r="D25" s="970"/>
      <c r="E25" s="971"/>
      <c r="F25" s="972"/>
      <c r="G25" s="973"/>
      <c r="H25" s="974"/>
      <c r="I25" s="975"/>
      <c r="J25" s="976"/>
      <c r="K25" s="977"/>
      <c r="L25" s="978"/>
      <c r="M25" s="897" t="s">
        <v>107</v>
      </c>
      <c r="N25" s="301"/>
      <c r="O25" s="282"/>
    </row>
    <row r="26" spans="1:15" ht="18" customHeight="1" x14ac:dyDescent="0.15">
      <c r="A26" s="6"/>
      <c r="B26" s="979" t="s">
        <v>113</v>
      </c>
      <c r="C26" s="980"/>
      <c r="D26" s="970"/>
      <c r="E26" s="971"/>
      <c r="F26" s="972"/>
      <c r="G26" s="973"/>
      <c r="H26" s="974"/>
      <c r="I26" s="975"/>
      <c r="J26" s="976"/>
      <c r="K26" s="977"/>
      <c r="L26" s="978"/>
      <c r="M26" s="895" t="s">
        <v>113</v>
      </c>
      <c r="N26" s="301"/>
      <c r="O26" s="282"/>
    </row>
    <row r="27" spans="1:15" ht="18" customHeight="1" x14ac:dyDescent="0.15">
      <c r="A27" s="6"/>
      <c r="B27" s="982" t="s">
        <v>72</v>
      </c>
      <c r="C27" s="980"/>
      <c r="D27" s="970"/>
      <c r="E27" s="971"/>
      <c r="F27" s="972"/>
      <c r="G27" s="973"/>
      <c r="H27" s="974"/>
      <c r="I27" s="975"/>
      <c r="J27" s="976"/>
      <c r="K27" s="977"/>
      <c r="L27" s="978"/>
      <c r="M27" s="899" t="s">
        <v>72</v>
      </c>
      <c r="N27" s="301"/>
      <c r="O27" s="282"/>
    </row>
    <row r="28" spans="1:15" ht="18" customHeight="1" x14ac:dyDescent="0.15">
      <c r="A28" s="6"/>
      <c r="B28" s="2823" t="s">
        <v>408</v>
      </c>
      <c r="C28" s="2850"/>
      <c r="D28" s="2850"/>
      <c r="E28" s="2850"/>
      <c r="F28" s="2850"/>
      <c r="G28" s="2850"/>
      <c r="H28" s="2850"/>
      <c r="I28" s="2850"/>
      <c r="J28" s="2850"/>
      <c r="K28" s="2850"/>
      <c r="L28" s="2850"/>
      <c r="M28" s="2850"/>
      <c r="N28" s="301"/>
      <c r="O28" s="282"/>
    </row>
    <row r="29" spans="1:15" ht="18" customHeight="1" x14ac:dyDescent="0.15">
      <c r="A29" s="6"/>
      <c r="B29" s="835" t="s">
        <v>273</v>
      </c>
      <c r="C29" s="845">
        <v>9</v>
      </c>
      <c r="D29" s="447">
        <v>1</v>
      </c>
      <c r="E29" s="846">
        <v>3</v>
      </c>
      <c r="F29" s="536">
        <v>2</v>
      </c>
      <c r="G29" s="737">
        <v>4</v>
      </c>
      <c r="H29" s="516">
        <v>5</v>
      </c>
      <c r="I29" s="497">
        <v>10</v>
      </c>
      <c r="J29" s="983">
        <v>7</v>
      </c>
      <c r="K29" s="848">
        <v>8</v>
      </c>
      <c r="L29" s="522">
        <v>6</v>
      </c>
      <c r="M29" s="844" t="s">
        <v>273</v>
      </c>
      <c r="N29" s="301"/>
      <c r="O29" s="282"/>
    </row>
    <row r="30" spans="1:15" ht="18" customHeight="1" x14ac:dyDescent="0.15">
      <c r="A30" s="6"/>
      <c r="B30" s="835" t="s">
        <v>274</v>
      </c>
      <c r="C30" s="1038">
        <f t="shared" ref="C30:L30" si="2">RANK(C8,$C$8:$L$8,0)</f>
        <v>7</v>
      </c>
      <c r="D30" s="525">
        <f t="shared" si="2"/>
        <v>6</v>
      </c>
      <c r="E30" s="1039">
        <f t="shared" si="2"/>
        <v>2</v>
      </c>
      <c r="F30" s="657">
        <f t="shared" si="2"/>
        <v>5</v>
      </c>
      <c r="G30" s="517">
        <f t="shared" si="2"/>
        <v>4</v>
      </c>
      <c r="H30" s="548">
        <f t="shared" si="2"/>
        <v>3</v>
      </c>
      <c r="I30" s="507">
        <f t="shared" si="2"/>
        <v>10</v>
      </c>
      <c r="J30" s="1040">
        <f t="shared" si="2"/>
        <v>9</v>
      </c>
      <c r="K30" s="1041">
        <f t="shared" si="2"/>
        <v>8</v>
      </c>
      <c r="L30" s="553">
        <f t="shared" si="2"/>
        <v>1</v>
      </c>
      <c r="M30" s="844" t="s">
        <v>274</v>
      </c>
      <c r="N30" s="301"/>
      <c r="O30" s="282"/>
    </row>
    <row r="31" spans="1:15" ht="18" customHeight="1" x14ac:dyDescent="0.15">
      <c r="A31" s="6"/>
      <c r="B31" s="835" t="s">
        <v>275</v>
      </c>
      <c r="C31" s="646">
        <f t="shared" ref="C31:L31" si="3">RANK(C14,$C$14:$L$14,1)</f>
        <v>10</v>
      </c>
      <c r="D31" s="541">
        <f t="shared" si="3"/>
        <v>7</v>
      </c>
      <c r="E31" s="512">
        <f t="shared" si="3"/>
        <v>1</v>
      </c>
      <c r="F31" s="638">
        <f t="shared" si="3"/>
        <v>8</v>
      </c>
      <c r="G31" s="22">
        <f t="shared" si="3"/>
        <v>2</v>
      </c>
      <c r="H31" s="520">
        <f t="shared" si="3"/>
        <v>3</v>
      </c>
      <c r="I31" s="407">
        <f t="shared" si="3"/>
        <v>9</v>
      </c>
      <c r="J31" s="632">
        <f t="shared" si="3"/>
        <v>6</v>
      </c>
      <c r="K31" s="555">
        <f t="shared" si="3"/>
        <v>5</v>
      </c>
      <c r="L31" s="618">
        <f t="shared" si="3"/>
        <v>4</v>
      </c>
      <c r="M31" s="844" t="s">
        <v>260</v>
      </c>
      <c r="N31" s="301"/>
      <c r="O31" s="282"/>
    </row>
    <row r="32" spans="1:15" ht="18" customHeight="1" x14ac:dyDescent="0.15">
      <c r="A32" s="6"/>
      <c r="B32" s="835" t="s">
        <v>268</v>
      </c>
      <c r="C32" s="646">
        <f t="shared" ref="C32:L32" si="4">RANK(C19,$C$19:$L$19,0)</f>
        <v>7</v>
      </c>
      <c r="D32" s="541">
        <f t="shared" si="4"/>
        <v>2</v>
      </c>
      <c r="E32" s="512">
        <f t="shared" si="4"/>
        <v>10</v>
      </c>
      <c r="F32" s="638">
        <f t="shared" si="4"/>
        <v>1</v>
      </c>
      <c r="G32" s="22">
        <f t="shared" si="4"/>
        <v>9</v>
      </c>
      <c r="H32" s="520">
        <f t="shared" si="4"/>
        <v>8</v>
      </c>
      <c r="I32" s="407">
        <f t="shared" si="4"/>
        <v>4</v>
      </c>
      <c r="J32" s="632">
        <f t="shared" si="4"/>
        <v>6</v>
      </c>
      <c r="K32" s="555">
        <f t="shared" si="4"/>
        <v>5</v>
      </c>
      <c r="L32" s="618">
        <f t="shared" si="4"/>
        <v>3</v>
      </c>
      <c r="M32" s="844" t="s">
        <v>267</v>
      </c>
      <c r="N32" s="301"/>
      <c r="O32" s="282"/>
    </row>
    <row r="33" spans="1:15" ht="18" customHeight="1" x14ac:dyDescent="0.15">
      <c r="A33" s="6"/>
      <c r="B33" s="835" t="s">
        <v>266</v>
      </c>
      <c r="C33" s="1038">
        <f t="shared" ref="C33:L33" si="5">RANK(C16,$C$16:$L$16,1)</f>
        <v>6</v>
      </c>
      <c r="D33" s="525">
        <f t="shared" si="5"/>
        <v>5</v>
      </c>
      <c r="E33" s="1039">
        <f t="shared" si="5"/>
        <v>8</v>
      </c>
      <c r="F33" s="657">
        <f t="shared" si="5"/>
        <v>4</v>
      </c>
      <c r="G33" s="517">
        <f t="shared" si="5"/>
        <v>1</v>
      </c>
      <c r="H33" s="548">
        <f t="shared" si="5"/>
        <v>7</v>
      </c>
      <c r="I33" s="507">
        <f t="shared" si="5"/>
        <v>3</v>
      </c>
      <c r="J33" s="1040">
        <f t="shared" si="5"/>
        <v>9</v>
      </c>
      <c r="K33" s="1041">
        <f t="shared" si="5"/>
        <v>10</v>
      </c>
      <c r="L33" s="553">
        <f t="shared" si="5"/>
        <v>2</v>
      </c>
      <c r="M33" s="844" t="s">
        <v>266</v>
      </c>
      <c r="N33" s="301"/>
      <c r="O33" s="282"/>
    </row>
    <row r="34" spans="1:15" ht="30" customHeight="1" x14ac:dyDescent="0.15">
      <c r="A34" s="6"/>
      <c r="B34" s="301"/>
      <c r="C34" s="30" t="s">
        <v>9</v>
      </c>
      <c r="D34" s="31" t="s">
        <v>10</v>
      </c>
      <c r="E34" s="32" t="s">
        <v>11</v>
      </c>
      <c r="F34" s="908" t="s">
        <v>23</v>
      </c>
      <c r="G34" s="34" t="s">
        <v>13</v>
      </c>
      <c r="H34" s="909" t="s">
        <v>14</v>
      </c>
      <c r="I34" s="815" t="s">
        <v>15</v>
      </c>
      <c r="J34" s="37" t="s">
        <v>16</v>
      </c>
      <c r="K34" s="38" t="s">
        <v>17</v>
      </c>
      <c r="L34" s="39" t="s">
        <v>18</v>
      </c>
      <c r="M34" s="816"/>
      <c r="N34" s="301"/>
      <c r="O34" s="282"/>
    </row>
    <row r="35" spans="1:15" ht="14" customHeight="1" x14ac:dyDescent="0.15">
      <c r="A35" s="24"/>
      <c r="B35" s="2848" t="s">
        <v>247</v>
      </c>
      <c r="C35" s="2849"/>
      <c r="D35" s="2849"/>
      <c r="E35" s="2849"/>
      <c r="F35" s="2849"/>
      <c r="G35" s="2849"/>
      <c r="H35" s="2849"/>
      <c r="I35" s="2849"/>
      <c r="J35" s="2849"/>
      <c r="K35" s="2849"/>
      <c r="L35" s="2849"/>
      <c r="M35" s="2849"/>
      <c r="N35" s="984"/>
      <c r="O35" s="748"/>
    </row>
  </sheetData>
  <mergeCells count="3">
    <mergeCell ref="B28:M28"/>
    <mergeCell ref="B35:M35"/>
    <mergeCell ref="B2:M2"/>
  </mergeCells>
  <pageMargins left="0.74791700000000005" right="0.74791700000000005" top="0.98402800000000001" bottom="0.98402800000000001" header="0.51180599999999998" footer="0.51180599999999998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20</vt:i4>
      </vt:variant>
    </vt:vector>
  </HeadingPairs>
  <TitlesOfParts>
    <vt:vector size="20" baseType="lpstr">
      <vt:lpstr>Données</vt:lpstr>
      <vt:lpstr>Aspects</vt:lpstr>
      <vt:lpstr>Hiéra SORI %</vt:lpstr>
      <vt:lpstr>H Topo</vt:lpstr>
      <vt:lpstr>DG</vt:lpstr>
      <vt:lpstr>SoriAspectral</vt:lpstr>
      <vt:lpstr>Hiéra Soriaspectral </vt:lpstr>
      <vt:lpstr>H Hélio</vt:lpstr>
      <vt:lpstr>H TGE</vt:lpstr>
      <vt:lpstr>H Equa</vt:lpstr>
      <vt:lpstr>Signes &amp; Maisons</vt:lpstr>
      <vt:lpstr>LAT G</vt:lpstr>
      <vt:lpstr>Librations</vt:lpstr>
      <vt:lpstr>DH</vt:lpstr>
      <vt:lpstr>IGH</vt:lpstr>
      <vt:lpstr>MAGNI</vt:lpstr>
      <vt:lpstr>IGG</vt:lpstr>
      <vt:lpstr>PQH</vt:lpstr>
      <vt:lpstr>PQG</vt:lpstr>
      <vt:lpstr>Comparaison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Utilisateur de Microsoft Office</cp:lastModifiedBy>
  <dcterms:created xsi:type="dcterms:W3CDTF">2017-11-07T10:17:24Z</dcterms:created>
  <dcterms:modified xsi:type="dcterms:W3CDTF">2018-07-30T13:11:04Z</dcterms:modified>
</cp:coreProperties>
</file>